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jdI4Lm5MJwS2UUbW+IbChxB8boTMX7p7ZNICVpEWGSZXvvU5nyojXy9+RnIdlGU7ssHESKBwcL0SGTlHv890VA==" workbookSaltValue="b5TfdO7wnGAwpZ64G9bU5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AC19" i="8"/>
  <c r="BH19" i="13"/>
  <c r="EP19" i="8"/>
  <c r="EP19" i="19"/>
  <c r="AT17" i="20"/>
  <c r="AL9" i="11"/>
  <c r="F9" i="2"/>
  <c r="N13" i="2"/>
  <c r="T13" i="12"/>
  <c r="T13" i="16"/>
  <c r="T13" i="20"/>
  <c r="BB13" i="13"/>
  <c r="BF9" i="8"/>
  <c r="J18" i="17"/>
  <c r="BG15" i="13"/>
  <c r="BA18" i="13"/>
  <c r="BE15" i="13"/>
  <c r="AH20" i="20"/>
  <c r="AL20" i="20"/>
  <c r="AB20" i="20"/>
  <c r="AO20" i="20"/>
  <c r="AN20" i="20"/>
  <c r="Y20" i="20"/>
  <c r="U10" i="11"/>
  <c r="AJ19" i="8" l="1"/>
  <c r="T19" i="8"/>
  <c r="BG15" i="8"/>
  <c r="K15" i="7" s="1"/>
  <c r="AC10" i="11"/>
  <c r="D10" i="6"/>
  <c r="AY13" i="8"/>
  <c r="D13" i="7"/>
  <c r="H13" i="12"/>
  <c r="AL12" i="11"/>
  <c r="C17" i="6"/>
  <c r="M13" i="2"/>
  <c r="K18" i="2"/>
  <c r="E12" i="6"/>
  <c r="AO12" i="11"/>
  <c r="B10" i="6"/>
  <c r="H12" i="2"/>
  <c r="H12" i="7"/>
  <c r="L9" i="14"/>
  <c r="L12" i="14"/>
  <c r="C10" i="6"/>
  <c r="I10" i="12" s="1"/>
  <c r="AO17" i="11"/>
  <c r="L16" i="14"/>
  <c r="L17" i="14"/>
  <c r="R8" i="9"/>
  <c r="L17" i="2" s="1"/>
  <c r="F15" i="17"/>
  <c r="AQ15" i="17" s="1"/>
  <c r="V9" i="16"/>
  <c r="BK10" i="11"/>
  <c r="BM17" i="11"/>
  <c r="BH10" i="16"/>
  <c r="X12" i="21"/>
  <c r="AP16" i="20"/>
  <c r="BM12" i="11"/>
  <c r="AP15" i="20"/>
  <c r="BU15" i="17"/>
  <c r="BV16" i="16"/>
  <c r="BW15" i="20"/>
  <c r="BV10" i="16"/>
  <c r="AZ16" i="11"/>
  <c r="T17" i="11"/>
  <c r="BH9" i="16"/>
  <c r="BJ17" i="11"/>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V15" i="11"/>
  <c r="BH15" i="11"/>
  <c r="BH15" i="16"/>
  <c r="Q17" i="20"/>
  <c r="Q18" i="20" s="1"/>
  <c r="V11" i="16"/>
  <c r="BF17" i="11"/>
  <c r="BF16" i="11"/>
  <c r="S17" i="16"/>
  <c r="BL12" i="11"/>
  <c r="V17" i="16"/>
  <c r="BK11" i="11"/>
  <c r="AP10" i="21"/>
  <c r="BH9" i="11"/>
  <c r="BI15" i="11"/>
  <c r="BJ15" i="11"/>
  <c r="BJ12" i="11"/>
  <c r="BG15" i="11"/>
  <c r="R17" i="20"/>
  <c r="R18" i="20" s="1"/>
  <c r="BK17" i="11"/>
  <c r="AZ9" i="11"/>
  <c r="AZ19" i="11" s="1"/>
  <c r="AP17" i="20"/>
  <c r="BW9" i="20"/>
  <c r="BW17" i="20"/>
  <c r="BW16" i="20"/>
  <c r="BV15" i="16"/>
  <c r="BU9" i="17"/>
  <c r="BU17" i="17"/>
  <c r="BU16" i="17"/>
  <c r="BV9" i="16"/>
  <c r="T16" i="11"/>
  <c r="S15" i="16"/>
  <c r="P15" i="17"/>
  <c r="P18" i="17" s="1"/>
  <c r="P19"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C13" i="6" l="1"/>
  <c r="F13" i="2"/>
  <c r="BM9" i="11"/>
  <c r="BL15" i="11"/>
  <c r="BF12" i="11"/>
  <c r="Q15" i="17"/>
  <c r="BH12" i="16"/>
  <c r="L15" i="2"/>
  <c r="BF15" i="11"/>
  <c r="V10" i="16"/>
  <c r="BL10" i="11"/>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<sst xmlns="http://schemas.openxmlformats.org/spreadsheetml/2006/main" count="2102" uniqueCount="917">
  <si>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</si>
  <si>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</si>
  <si>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</si>
  <si>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</si>
  <si>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</si>
  <si>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</si>
  <si>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</si>
  <si>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</si>
  <si>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</si>
  <si>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</si>
  <si>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</si>
  <si>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</si>
  <si>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</si>
  <si>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</si>
  <si>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</si>
  <si>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</si>
  <si>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</si>
  <si>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</si>
  <si>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</si>
  <si>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</si>
  <si>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</si>
  <si>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</si>
  <si>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</si>
  <si>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</si>
  <si>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</si>
  <si>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</si>
  <si>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</si>
  <si>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</si>
  <si>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</si>
  <si>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</si>
  <si>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</si>
  <si>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</si>
  <si>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</si>
  <si>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</si>
  <si>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</si>
  <si>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</si>
  <si>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</si>
  <si>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</si>
  <si>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</si>
  <si>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</si>
  <si>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</si>
  <si>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</si>
  <si>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</si>
  <si>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</si>
  <si>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</si>
  <si>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</si>
  <si>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</si>
  <si>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</si>
  <si>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</si>
  <si>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</si>
  <si>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</si>
  <si>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</si>
  <si>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</si>
  <si>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</si>
  <si>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</si>
  <si>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</si>
  <si>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</si>
  <si>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</si>
  <si>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</si>
  <si>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</si>
  <si>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</si>
  <si>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</si>
  <si>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</si>
  <si>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</si>
  <si>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</si>
  <si>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</si>
  <si>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</si>
  <si>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</si>
  <si>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</si>
  <si>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</si>
  <si>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</si>
  <si>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</si>
  <si>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</si>
  <si>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</si>
  <si>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</si>
  <si>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</si>
  <si>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</si>
  <si>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</si>
  <si>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</si>
  <si>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</si>
  <si>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</si>
  <si>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</si>
  <si>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</si>
  <si>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</si>
  <si>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</si>
  <si>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</si>
  <si>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</si>
  <si>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</si>
  <si>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</si>
  <si>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</si>
  <si>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</si>
  <si>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</si>
  <si>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</si>
  <si>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</si>
  <si>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</si>
  <si>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</si>
  <si>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</si>
  <si>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</si>
  <si>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</si>
  <si>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</si>
  <si>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</si>
  <si>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</si>
  <si>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</si>
  <si>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</si>
  <si>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</si>
  <si>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</si>
  <si>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</si>
  <si>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</si>
  <si>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</si>
  <si>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</si>
  <si>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</si>
  <si>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</si>
  <si>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</si>
  <si>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</si>
  <si>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</si>
  <si>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</si>
  <si>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</si>
  <si>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</si>
  <si>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</si>
  <si>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</si>
  <si>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</si>
  <si>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</si>
  <si>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</si>
  <si>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</si>
  <si>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</si>
  <si>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</si>
  <si>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</si>
  <si>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</si>
  <si>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</si>
  <si>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</si>
  <si>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</si>
  <si>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</si>
  <si>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</si>
  <si>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</si>
  <si>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</si>
  <si>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</si>
  <si>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</si>
  <si>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</si>
  <si>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</si>
  <si>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</si>
  <si>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</si>
  <si>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</si>
  <si>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</si>
  <si>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</si>
  <si>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</si>
  <si>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</si>
  <si>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</si>
  <si>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</si>
  <si>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</si>
  <si>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</si>
  <si>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</si>
  <si>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</si>
  <si>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</si>
  <si>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</si>
  <si>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</si>
  <si>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</si>
  <si>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</si>
  <si>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</si>
  <si>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</si>
  <si>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</si>
  <si>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</si>
  <si>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</si>
  <si>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</si>
  <si>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</si>
  <si>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</si>
  <si>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</si>
  <si>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</si>
  <si>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</si>
  <si>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</si>
  <si>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</si>
  <si>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</si>
  <si>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</si>
  <si>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</si>
  <si>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</si>
  <si>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</si>
  <si>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</si>
  <si>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</si>
  <si>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</si>
  <si>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</si>
  <si>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</si>
  <si>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</si>
  <si>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</si>
  <si>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</si>
  <si>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</si>
  <si>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</si>
  <si>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</si>
  <si>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</si>
  <si>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</si>
  <si>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</si>
  <si>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</si>
  <si>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</si>
  <si>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</si>
  <si>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</si>
  <si>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</si>
  <si>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</si>
  <si>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</si>
  <si>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</si>
  <si>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</si>
  <si>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</si>
  <si>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</si>
  <si>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</si>
  <si>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</si>
  <si>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</si>
  <si>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</si>
  <si>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</si>
  <si>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</si>
  <si>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</si>
  <si>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</si>
  <si>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</si>
  <si>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</si>
  <si>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</si>
  <si>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</si>
  <si>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</si>
  <si>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</si>
  <si>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</si>
  <si>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</si>
  <si>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</si>
  <si>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</si>
  <si>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</si>
  <si>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</si>
  <si>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</si>
  <si>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</si>
  <si>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</si>
  <si>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</si>
  <si>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</si>
  <si>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</si>
  <si>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</si>
  <si>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</si>
  <si>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</si>
  <si>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</si>
  <si>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</si>
  <si>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</si>
  <si>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</si>
  <si>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</si>
  <si>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</si>
  <si>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</si>
  <si>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</si>
  <si>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</si>
  <si>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</si>
  <si>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</si>
  <si>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</si>
  <si>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</si>
  <si>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</si>
  <si>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</si>
  <si>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</si>
  <si>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</si>
  <si>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</si>
  <si>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</si>
  <si>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</si>
  <si>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</si>
  <si>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</si>
  <si>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</si>
  <si>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</si>
  <si>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</si>
  <si>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</si>
  <si>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</si>
  <si>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</si>
  <si>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</si>
  <si>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</si>
  <si>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</si>
  <si>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</si>
  <si>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</si>
  <si>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</si>
  <si>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</si>
  <si>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</si>
  <si>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</si>
  <si>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</si>
  <si>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</si>
  <si>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</si>
  <si>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</si>
  <si>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</si>
  <si>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</si>
  <si>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</si>
  <si>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</si>
  <si>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</si>
  <si>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</si>
  <si>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</si>
  <si>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</si>
  <si>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</si>
  <si>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</si>
  <si>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</si>
  <si>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</si>
  <si>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</si>
  <si>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</si>
  <si>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</si>
  <si>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</si>
  <si>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</si>
  <si>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</si>
  <si>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</si>
  <si>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</si>
  <si>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</si>
  <si>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</si>
  <si>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</si>
  <si>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</si>
  <si>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</si>
  <si>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</si>
  <si>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</si>
  <si>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</si>
  <si>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</si>
  <si>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</si>
  <si>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</si>
  <si>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</si>
  <si>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</si>
  <si>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</si>
  <si>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</si>
  <si>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</si>
  <si>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</si>
  <si>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</si>
  <si>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</si>
  <si>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</si>
  <si>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</si>
  <si>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</si>
  <si>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</si>
  <si>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</si>
  <si>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</si>
  <si>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</si>
  <si>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</si>
  <si>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</si>
  <si>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</si>
  <si>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</si>
  <si>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</si>
  <si>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</si>
  <si>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</si>
  <si>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</si>
  <si>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</si>
  <si>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</si>
  <si>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</si>
  <si>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</si>
  <si>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</si>
  <si>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</si>
  <si>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</si>
  <si>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</si>
  <si>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</si>
  <si>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</si>
  <si>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</si>
  <si>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</si>
  <si>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</si>
  <si>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</si>
  <si>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</si>
  <si>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</si>
  <si>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</si>
  <si>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</si>
  <si>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</si>
  <si>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</si>
  <si>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</si>
  <si>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</si>
  <si>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</si>
  <si>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</si>
  <si>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</si>
  <si>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</si>
  <si>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</si>
  <si>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</si>
  <si>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</si>
  <si>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</si>
  <si>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</si>
  <si>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</si>
  <si>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</si>
  <si>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</si>
  <si>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</si>
  <si>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</si>
  <si>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</si>
  <si>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</si>
  <si>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</si>
  <si>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</si>
  <si>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</si>
  <si>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</si>
  <si>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</si>
  <si>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</si>
  <si>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</si>
  <si>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</si>
  <si>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</si>
  <si>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</si>
  <si>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</si>
  <si>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</si>
  <si>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</si>
  <si>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</si>
  <si>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</si>
  <si>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</si>
  <si>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</si>
  <si>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</si>
  <si>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</si>
  <si>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</si>
  <si>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</si>
  <si>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</si>
  <si>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</si>
  <si>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</si>
  <si>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</si>
  <si>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</si>
  <si>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</si>
  <si>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</si>
  <si>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</si>
  <si>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</si>
  <si>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</si>
  <si>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</si>
  <si>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</si>
  <si>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</si>
  <si>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</si>
  <si>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</si>
  <si>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</si>
  <si>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</si>
  <si>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</si>
  <si>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</si>
  <si>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</si>
  <si>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</si>
  <si>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</si>
  <si>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</si>
  <si>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</si>
  <si>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</si>
  <si>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</si>
  <si>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</si>
  <si>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</si>
  <si>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</si>
  <si>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</si>
  <si>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</si>
  <si>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</si>
  <si>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</si>
  <si>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</si>
  <si>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</si>
  <si>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</si>
  <si>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</si>
  <si>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</si>
  <si>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</si>
  <si>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</si>
  <si>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</si>
  <si>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</si>
  <si>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</si>
  <si>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</si>
  <si>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</si>
  <si>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</si>
  <si>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</si>
  <si>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</si>
  <si>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</si>
  <si>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</si>
  <si>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</si>
  <si>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</si>
  <si>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</si>
  <si>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</si>
  <si>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</si>
  <si>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</si>
  <si>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</si>
  <si>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</si>
  <si>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</si>
  <si>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</si>
  <si>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</si>
  <si>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</si>
  <si>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</si>
  <si>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</si>
  <si>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</si>
  <si>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</si>
  <si>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</si>
  <si>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</si>
  <si>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</si>
  <si>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</si>
  <si>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</si>
  <si>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</si>
  <si>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</si>
  <si>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</si>
  <si>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</si>
  <si>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</si>
  <si>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</si>
  <si>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</si>
  <si>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</si>
  <si>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</si>
  <si>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</si>
  <si>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</si>
  <si>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</si>
  <si>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</si>
  <si>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</si>
  <si>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</si>
  <si>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</si>
  <si>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</si>
  <si>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</si>
  <si>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</si>
  <si>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</si>
  <si>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</si>
  <si>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</si>
  <si>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</si>
  <si>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</si>
  <si>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</si>
  <si>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</si>
  <si>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</si>
  <si>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</si>
  <si>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</si>
  <si>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</si>
  <si>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</si>
  <si>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</si>
  <si>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</si>
  <si>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</si>
  <si>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</si>
  <si>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</si>
  <si>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</si>
  <si>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</si>
  <si>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</si>
  <si>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</si>
  <si>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</si>
  <si>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</si>
  <si>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</si>
  <si>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</si>
  <si>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</si>
  <si>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</si>
  <si>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</si>
  <si>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</si>
  <si>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</si>
  <si>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</si>
  <si>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</si>
  <si>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</si>
  <si>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</si>
  <si>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</si>
  <si>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</si>
  <si>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</si>
  <si>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</si>
  <si>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</si>
  <si>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</si>
  <si>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</si>
  <si>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</si>
  <si>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</si>
  <si>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</si>
  <si>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</si>
  <si>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</si>
  <si>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</si>
  <si>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</si>
  <si>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</si>
  <si>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</si>
  <si>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</si>
  <si>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</si>
  <si>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</si>
  <si>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</si>
  <si>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</si>
  <si>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</si>
  <si>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</si>
  <si>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</si>
  <si>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</si>
  <si>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</si>
  <si>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</si>
  <si>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</si>
  <si>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</si>
  <si>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</si>
  <si>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</si>
  <si>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</si>
  <si>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</si>
  <si>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</si>
  <si>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</si>
  <si>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</si>
  <si>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</si>
  <si>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</si>
  <si>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</si>
  <si>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</si>
  <si>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</si>
  <si>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</si>
  <si>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</si>
  <si>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</si>
  <si>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</si>
  <si>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</si>
  <si>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</si>
  <si>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</si>
  <si>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</si>
  <si>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</si>
  <si>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</si>
  <si>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</si>
  <si>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</si>
  <si>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</si>
  <si>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</si>
  <si>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</si>
  <si>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</si>
  <si>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</si>
  <si>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</si>
  <si>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</si>
  <si>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</si>
  <si>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</si>
  <si>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</si>
  <si>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</si>
  <si>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</si>
  <si>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</si>
  <si>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</si>
  <si>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</si>
  <si>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</si>
  <si>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</si>
  <si>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</si>
  <si>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</si>
  <si>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</si>
  <si>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</si>
  <si>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</si>
  <si>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</si>
  <si>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</si>
  <si>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</si>
  <si>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</si>
  <si>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</si>
  <si>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</si>
  <si>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</si>
  <si>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</si>
  <si>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</si>
  <si>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</si>
  <si>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</si>
  <si>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</si>
  <si>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</si>
  <si>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</si>
  <si>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</si>
  <si>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</si>
  <si>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</si>
  <si>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</si>
  <si>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</si>
  <si>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</si>
  <si>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</si>
  <si>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</si>
  <si>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</si>
  <si>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</si>
  <si>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</si>
  <si>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</si>
  <si>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</si>
  <si>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</si>
  <si>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</si>
  <si>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</si>
  <si>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</si>
  <si>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</si>
  <si>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</si>
  <si>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</si>
  <si>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</si>
  <si>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</si>
  <si>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</si>
  <si>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</si>
  <si>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</si>
  <si>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</si>
  <si>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</si>
  <si>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</si>
  <si>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</si>
  <si>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</si>
  <si>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</si>
  <si>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</si>
  <si>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</si>
  <si>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</si>
  <si>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</si>
  <si>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</si>
  <si>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</si>
  <si>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</si>
  <si>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</si>
  <si>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</si>
  <si>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</si>
  <si>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</si>
  <si>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</si>
  <si>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</si>
  <si>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</si>
  <si>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</si>
  <si>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</si>
  <si>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</si>
  <si>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</si>
  <si>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</si>
  <si>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</si>
  <si>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</si>
  <si>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</si>
  <si>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</si>
  <si>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</si>
  <si>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</si>
  <si>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</si>
  <si>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</si>
  <si>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</si>
  <si>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</si>
  <si>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</si>
  <si>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</si>
  <si>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</si>
  <si>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</si>
  <si>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</si>
  <si>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</si>
  <si>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</si>
  <si>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</si>
  <si>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</si>
  <si>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</si>
  <si>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</si>
  <si>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</si>
  <si>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</si>
  <si>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</si>
  <si>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</si>
  <si>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</si>
  <si>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</si>
  <si>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</si>
  <si>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</si>
  <si>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</si>
  <si>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</si>
  <si>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</si>
  <si>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</si>
  <si>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</si>
  <si>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</si>
  <si>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</si>
  <si>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</si>
  <si>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</si>
  <si>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</si>
  <si>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</si>
  <si>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</si>
  <si>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</si>
  <si>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</si>
  <si>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</si>
  <si>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</si>
  <si>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</si>
  <si>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</si>
  <si>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</si>
  <si>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</si>
  <si>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</si>
  <si>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</si>
  <si>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</si>
  <si>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</si>
  <si>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</si>
  <si>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</si>
  <si>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</si>
  <si>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</si>
  <si>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</si>
  <si>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</si>
  <si>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</si>
  <si>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</si>
  <si>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</si>
  <si>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</si>
  <si>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</si>
  <si>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</si>
  <si>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</si>
  <si>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</si>
  <si>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</si>
  <si>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</si>
  <si>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</si>
  <si>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</si>
  <si>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</si>
  <si>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</si>
  <si>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</si>
  <si>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</si>
  <si>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</si>
  <si>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</si>
  <si>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</si>
  <si>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</si>
  <si>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</si>
  <si>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</si>
  <si>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</si>
  <si>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</si>
  <si>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</si>
  <si>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</si>
  <si>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</si>
  <si>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</si>
  <si>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</si>
  <si>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</si>
  <si>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</si>
  <si>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</si>
  <si>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</si>
  <si>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</si>
  <si>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</si>
  <si>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</si>
  <si>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</si>
  <si>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</si>
  <si>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</si>
  <si>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</si>
  <si>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</si>
  <si>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</si>
  <si>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</si>
  <si>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</si>
  <si>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</si>
  <si>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</si>
  <si>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</si>
  <si>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</si>
  <si>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</si>
  <si>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</si>
  <si>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</si>
  <si>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</si>
  <si>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</si>
  <si>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</si>
  <si>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</si>
  <si>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</si>
  <si>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</si>
  <si>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</si>
  <si>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</si>
  <si>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</si>
  <si>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</si>
  <si>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</si>
  <si>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</si>
  <si>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</si>
  <si>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</si>
  <si>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</si>
  <si>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</si>
  <si>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</si>
  <si>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</si>
  <si>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</si>
  <si>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</si>
  <si>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</si>
  <si>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</si>
  <si>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</si>
  <si>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</si>
  <si>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</si>
  <si>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</si>
  <si>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</si>
  <si>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</si>
  <si>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</si>
  <si>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</si>
  <si>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</si>
  <si>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</si>
  <si>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</si>
  <si>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</si>
  <si>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</si>
  <si>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</si>
  <si>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</si>
  <si>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</si>
  <si>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</si>
  <si>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</si>
  <si>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</si>
  <si>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</si>
  <si>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</si>
  <si>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</si>
  <si>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</si>
  <si>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</si>
  <si>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</si>
  <si>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</si>
  <si>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</si>
  <si>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</si>
  <si>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</si>
  <si>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</si>
  <si>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</si>
  <si>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</si>
  <si>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</si>
  <si>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</si>
  <si>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</si>
  <si>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</si>
  <si>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</si>
  <si>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</si>
  <si>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</si>
  <si>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</si>
  <si>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</si>
  <si>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</si>
  <si>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</si>
  <si>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</si>
  <si>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</si>
  <si>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</si>
  <si>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</si>
  <si>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</si>
  <si>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</si>
  <si>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</si>
  <si>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</si>
  <si>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</si>
  <si>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</si>
  <si>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</si>
  <si>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</si>
  <si>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</si>
  <si>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</si>
  <si>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</si>
  <si>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</si>
  <si>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</si>
  <si>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</si>
  <si>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</si>
  <si>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</si>
  <si>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</si>
  <si>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</si>
  <si>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</si>
  <si>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</si>
  <si>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</si>
  <si>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</si>
  <si>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</si>
  <si>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</si>
  <si>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</si>
  <si>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</si>
  <si>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</si>
  <si>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</si>
  <si>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</si>
  <si>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</si>
  <si>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</si>
  <si>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</si>
  <si>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</si>
  <si>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</si>
  <si>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</si>
  <si>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</si>
  <si>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</si>
  <si>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</si>
  <si>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</si>
  <si>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</si>
  <si>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</si>
  <si>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</si>
  <si>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</si>
  <si>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</si>
  <si>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</si>
  <si>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</si>
  <si>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</si>
  <si>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</si>
  <si>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</si>
  <si>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</si>
  <si>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</si>
  <si>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</si>
  <si>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</si>
  <si>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</si>
  <si>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</si>
  <si>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</si>
  <si>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</si>
  <si>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</si>
  <si>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</si>
  <si>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</si>
  <si>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</si>
  <si>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</si>
  <si>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</si>
  <si>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</si>
  <si>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</si>
  <si>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</si>
  <si>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</si>
  <si>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</si>
  <si>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</si>
  <si>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</si>
  <si>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</si>
  <si>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</si>
  <si>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</si>
  <si>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</si>
  <si>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</si>
  <si>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</si>
  <si>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</si>
  <si>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</si>
  <si>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</si>
  <si>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</si>
  <si>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</si>
  <si>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</si>
  <si>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</si>
  <si>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</si>
  <si>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</si>
  <si>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</si>
  <si>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</si>
  <si>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</si>
  <si>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</si>
  <si>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</si>
  <si>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</si>
  <si>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ORIHUELA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</si>
</sst>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woYv8FJigvJCM7edJGuAGSHKQf+UmP13MQlpPIBFnzwo4kVLRvwSyKQtzufTHK3as/xo/dpyDTWRjuOyrBg==" saltValue="fa+DdGpChvK0UomZ8aIF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42.290201342281875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191</v>
      </c>
      <c r="D10" s="225">
        <f>IF(ISNUMBER(Datos!I10),Datos!I10," - ")</f>
        <v>195</v>
      </c>
      <c r="E10" s="226">
        <f>IF(ISNUMBER(Datos!J10),Datos!J10," - ")</f>
        <v>54</v>
      </c>
      <c r="F10" s="226">
        <f>IF(ISNUMBER(Datos!K10),Datos!K10," - ")</f>
        <v>49</v>
      </c>
      <c r="G10" s="1034" t="str">
        <f>IF(Datos!E10&lt;&gt;"",Datos!E10,Datos!D10)</f>
        <v>37</v>
      </c>
      <c r="H10" s="227">
        <f>IF(ISNUMBER(Datos!L10),Datos!L10," - ")</f>
        <v>196</v>
      </c>
      <c r="I10" s="1044" t="str">
        <f>IF(ISNUMBER(Datos!AS10/Datos!BM10),Datos!AS10/Datos!BM10," - ")</f>
        <v xml:space="preserve"> - </v>
      </c>
      <c r="J10" s="1045">
        <f>IF(ISNUMBER(Datos!BY10/Datos!CN10),Datos!BY10/Datos!CN10," - ")</f>
        <v>0</v>
      </c>
      <c r="K10" s="230">
        <f t="shared" ref="K10:K12" si="1">IF(ISNUMBER((E10-F10)/C10),(E10-F10)/C10," - ")</f>
        <v>2.6178010471204188E-2</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191</v>
      </c>
      <c r="D13" s="1049">
        <f>SUBTOTAL(9,D9:D12)</f>
        <v>195</v>
      </c>
      <c r="E13" s="1050">
        <f>SUBTOTAL(9,E9:E12)</f>
        <v>54</v>
      </c>
      <c r="F13" s="1051">
        <f>SUBTOTAL(9,F9:F12)</f>
        <v>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3405</v>
      </c>
      <c r="D15" s="225">
        <f>IF(ISNUMBER(IF(D_I="SI",Datos!I15,Datos!I15+Datos!AC15)),IF(D_I="SI",Datos!I15,Datos!I15+Datos!AC15)," - ")</f>
        <v>3373</v>
      </c>
      <c r="E15" s="226">
        <f>IF(ISNUMBER(IF(D_I="SI",Datos!J15,Datos!J15+Datos!AD15)),IF(D_I="SI",Datos!J15,Datos!J15+Datos!AD15)," - ")</f>
        <v>2178</v>
      </c>
      <c r="F15" s="226">
        <f>IF(ISNUMBER(IF(D_I="SI",Datos!K15,Datos!K15+Datos!AE15)),IF(D_I="SI",Datos!K15,Datos!K15+Datos!AE15)," - ")</f>
        <v>2250</v>
      </c>
      <c r="G15" s="1034" t="str">
        <f>IF(Datos!E15&lt;&gt;"",Datos!E15,Datos!D15)</f>
        <v>03</v>
      </c>
      <c r="H15" s="227">
        <f>IF(ISNUMBER(IF(D_I="SI",Datos!L15,Datos!L15+Datos!AF15)),IF(D_I="SI",Datos!L15,Datos!L15+Datos!AF15)," - ")</f>
        <v>3333</v>
      </c>
      <c r="I15" s="1044" t="str">
        <f>IF(ISNUMBER(Datos!AS15/Datos!BM15),Datos!AS15/Datos!BM15," - ")</f>
        <v xml:space="preserve"> - </v>
      </c>
      <c r="J15" s="1045">
        <f>IF(ISNUMBER(Datos!BY15/Datos!CN15),Datos!BY15/Datos!CN15," - ")</f>
        <v>0</v>
      </c>
      <c r="K15" s="230">
        <f t="shared" ref="K15:K17" si="3">IF(ISNUMBER((E15-F15)/C15),(E15-F15)/C15," - ")</f>
        <v>-2.1145374449339206E-2</v>
      </c>
      <c r="L15" s="1025">
        <f>IF(ISNUMBER(NºAsuntos!I15/NºAsuntos!G15),(NºAsuntos!I15/NºAsuntos!G15)*11," - ")</f>
        <v>16.294666666666668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316</v>
      </c>
      <c r="D17" s="225">
        <f>IF(ISNUMBER(IF(D_I="SI",Datos!I17,Datos!I17+Datos!AC17)),IF(D_I="SI",Datos!I17,Datos!I17+Datos!AC17)," - ")</f>
        <v>316</v>
      </c>
      <c r="E17" s="226">
        <f>IF(ISNUMBER(IF(D_I="SI",Datos!J17,Datos!J17+Datos!AD17)),IF(D_I="SI",Datos!J17,Datos!J17+Datos!AD17)," - ")</f>
        <v>315</v>
      </c>
      <c r="F17" s="226">
        <f>IF(ISNUMBER(IF(D_I="SI",Datos!K17,Datos!K17+Datos!AE17)),IF(D_I="SI",Datos!K17,Datos!K17+Datos!AE17)," - ")</f>
        <v>378</v>
      </c>
      <c r="G17" s="1034" t="str">
        <f>IF(Datos!E17&lt;&gt;"",Datos!E17,Datos!D17)</f>
        <v>37</v>
      </c>
      <c r="H17" s="227">
        <f>IF(ISNUMBER(IF(D_I="SI",Datos!L17,Datos!L17+Datos!AF17)),IF(D_I="SI",Datos!L17,Datos!L17+Datos!AF17)," - ")</f>
        <v>253</v>
      </c>
      <c r="I17" s="1044" t="str">
        <f>IF(ISNUMBER(Datos!AS17/Datos!BM17),Datos!AS17/Datos!BM17," - ")</f>
        <v xml:space="preserve"> - </v>
      </c>
      <c r="J17" s="1045" t="str">
        <f>IF(ISNUMBER((Datos!BY17+Datos!BZ17)/Datos!CN17),(Datos!BY17+Datos!BZ17)/Datos!CN17," - ")</f>
        <v xml:space="preserve"> - </v>
      </c>
      <c r="K17" s="230">
        <f t="shared" si="3"/>
        <v>-0.19936708860759494</v>
      </c>
      <c r="L17" s="1025">
        <f>IF(ISNUMBER(NºAsuntos!I17/NºAsuntos!G17),(NºAsuntos!I17/NºAsuntos!G17)*11," - ")</f>
        <v>7.3624338624338623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3721</v>
      </c>
      <c r="D18" s="1049">
        <f>SUBTOTAL(9,D15:D17)</f>
        <v>3689</v>
      </c>
      <c r="E18" s="1050">
        <f>SUBTOTAL(9,E15:E17)</f>
        <v>2493</v>
      </c>
      <c r="F18" s="1050">
        <f>SUBTOTAL(9,F15:F17)</f>
        <v>2628</v>
      </c>
      <c r="G18" s="1052" t="str">
        <f ca="1">INDIRECT(CONCATENATE("G",ROW()-1))</f>
        <v>37</v>
      </c>
      <c r="H18" s="1053">
        <f ca="1">SUMIF(G$14:G17,G18,H$14:H17)</f>
        <v>253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3912</v>
      </c>
      <c r="D19" s="1071">
        <f>SUBTOTAL(9,D9:D18)</f>
        <v>3884</v>
      </c>
      <c r="E19" s="1072">
        <f>SUBTOTAL(9,E9:E18)</f>
        <v>2547</v>
      </c>
      <c r="F19" s="1072">
        <f>SUBTOTAL(9,F9:F18)</f>
        <v>2677</v>
      </c>
      <c r="G19" s="1073"/>
      <c r="H19" s="1074">
        <f ca="1">SUMIF(B9:B18,"TOTAL",H9:H18)</f>
        <v>253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QrKMK9XGrcXpA8S4KQSasRNJhOXHCTJEfSL3807OCBN/NWUBu0DQLgvRzsMVLbELfeacPptmXdvXBXUes1xeA==" saltValue="KKK3Y365AdAqL1iCYQwTZ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ZrfnSVf3yszHdp2RhhkdM3D6rgOPDcGEjGqF23rVoH/GodBVvdhv8qgD8DkzCR9LYR3fD0MnFRgNyhzzdu5iw==" saltValue="LgFqTaOMFUzF5l0/B4Sb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12500</v>
      </c>
      <c r="J9" s="181">
        <v>5128</v>
      </c>
      <c r="K9" s="181">
        <v>3506</v>
      </c>
      <c r="L9" s="181">
        <v>14048</v>
      </c>
      <c r="M9" s="181">
        <v>776</v>
      </c>
      <c r="N9" s="181">
        <v>1437</v>
      </c>
      <c r="O9" s="181">
        <v>1932</v>
      </c>
      <c r="P9" s="181">
        <v>748</v>
      </c>
      <c r="Q9" s="181">
        <v>730</v>
      </c>
      <c r="R9" s="181">
        <v>15330</v>
      </c>
      <c r="S9" s="181">
        <v>10086</v>
      </c>
      <c r="T9" s="181">
        <v>2984</v>
      </c>
      <c r="U9" s="181">
        <v>2496</v>
      </c>
      <c r="V9" s="181">
        <v>10603</v>
      </c>
      <c r="W9" s="181">
        <v>521</v>
      </c>
      <c r="X9" s="188">
        <v>1088</v>
      </c>
      <c r="Y9" s="191">
        <v>277</v>
      </c>
      <c r="Z9" s="181">
        <v>234</v>
      </c>
      <c r="AA9" s="181">
        <v>219</v>
      </c>
      <c r="AB9" s="181">
        <v>273</v>
      </c>
      <c r="AC9" s="181">
        <v>0</v>
      </c>
      <c r="AD9" s="181">
        <v>0</v>
      </c>
      <c r="AE9" s="181">
        <v>0</v>
      </c>
      <c r="AF9" s="188">
        <v>0</v>
      </c>
      <c r="AG9" s="191">
        <v>320</v>
      </c>
      <c r="AH9" s="181">
        <v>186</v>
      </c>
      <c r="AI9" s="181">
        <v>218</v>
      </c>
      <c r="AJ9" s="192">
        <v>294</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10406</v>
      </c>
      <c r="AZ9" s="123">
        <f>IF(ISNUMBER(IF(J_V="SI",T9,T9+AH9)),IF(J_V="SI",T9,T9+AH9)," - ")</f>
        <v>3170</v>
      </c>
      <c r="BA9" s="124">
        <f>IF(ISNUMBER(IF(J_V="SI",U9,U9+AI9)),IF(J_V="SI",U9,U9+AI9)," - ")</f>
        <v>2714</v>
      </c>
      <c r="BB9" s="124">
        <f>IF(ISNUMBER(IF(J_V="SI",V9,V9+AJ9)),IF(J_V="SI",V9,V9+AJ9)," - ")</f>
        <v>10897</v>
      </c>
      <c r="BC9" s="125">
        <f>IF(ISNUMBER(X9),X9," - ")</f>
        <v>1088</v>
      </c>
      <c r="BD9" s="126">
        <f>IF(ISNUMBER(BA9/AZ9),BA9/AZ9," - ")</f>
        <v>0.85615141955835961</v>
      </c>
      <c r="BE9" s="127">
        <f>IF(ISNUMBER(BB9/BA9),BB9/BA9, " - ")</f>
        <v>4.0151068533529841</v>
      </c>
      <c r="BF9" s="127">
        <f>IF(ISNUMBER(BC9/BA9),BC9/BA9, " - ")</f>
        <v>0.40088430361090643</v>
      </c>
      <c r="BG9" s="196">
        <f>IF(ISNUMBER((AY9+AZ9)/BA9),(AY9+AZ9)/BA9," - ")</f>
        <v>5.0022107590272658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195</v>
      </c>
      <c r="J10" s="181">
        <v>54</v>
      </c>
      <c r="K10" s="181">
        <v>49</v>
      </c>
      <c r="L10" s="181">
        <v>196</v>
      </c>
      <c r="M10" s="181">
        <v>26</v>
      </c>
      <c r="N10" s="181">
        <v>21</v>
      </c>
      <c r="O10" s="181">
        <v>10</v>
      </c>
      <c r="P10" s="181">
        <v>10</v>
      </c>
      <c r="Q10" s="181">
        <v>6</v>
      </c>
      <c r="R10" s="181">
        <v>171</v>
      </c>
      <c r="S10" s="181">
        <v>217</v>
      </c>
      <c r="T10" s="181">
        <v>63</v>
      </c>
      <c r="U10" s="181">
        <v>65</v>
      </c>
      <c r="V10" s="181">
        <v>215</v>
      </c>
      <c r="W10" s="181">
        <v>37</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217</v>
      </c>
      <c r="AZ10" s="129">
        <f t="shared" si="0"/>
        <v>63</v>
      </c>
      <c r="BA10" s="129">
        <f t="shared" si="0"/>
        <v>65</v>
      </c>
      <c r="BB10" s="129">
        <f t="shared" si="0"/>
        <v>215</v>
      </c>
      <c r="BC10" s="125">
        <f t="shared" si="0"/>
        <v>37</v>
      </c>
      <c r="BD10" s="126">
        <f>IF(ISNUMBER(BA10/AZ10),BA10/AZ10," - ")</f>
        <v>1.0317460317460319</v>
      </c>
      <c r="BE10" s="127">
        <f>IF(ISNUMBER(BB10/BA10),BB10/BA10, " - ")</f>
        <v>3.3076923076923075</v>
      </c>
      <c r="BF10" s="127">
        <f>IF(ISNUMBER(BC10/BA10),BC10/BA10, " - ")</f>
        <v>0.56923076923076921</v>
      </c>
      <c r="BG10" s="196">
        <f>IF(ISNUMBER((AY10+AZ10)/BA10),(AY10+AZ10)/BA10," - ")</f>
        <v>4.3076923076923075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12695</v>
      </c>
      <c r="J13" s="184">
        <f t="shared" si="6"/>
        <v>5182</v>
      </c>
      <c r="K13" s="184">
        <f t="shared" si="6"/>
        <v>3555</v>
      </c>
      <c r="L13" s="184">
        <f t="shared" si="6"/>
        <v>14244</v>
      </c>
      <c r="M13" s="184">
        <f t="shared" si="6"/>
        <v>802</v>
      </c>
      <c r="N13" s="184">
        <f t="shared" si="6"/>
        <v>1458</v>
      </c>
      <c r="O13" s="184">
        <f t="shared" si="6"/>
        <v>1942</v>
      </c>
      <c r="P13" s="184">
        <f t="shared" si="6"/>
        <v>758</v>
      </c>
      <c r="Q13" s="184">
        <f t="shared" si="6"/>
        <v>736</v>
      </c>
      <c r="R13" s="184">
        <f t="shared" si="6"/>
        <v>15501</v>
      </c>
      <c r="S13" s="184">
        <f t="shared" si="6"/>
        <v>10303</v>
      </c>
      <c r="T13" s="184">
        <f t="shared" si="6"/>
        <v>3047</v>
      </c>
      <c r="U13" s="184">
        <f t="shared" si="6"/>
        <v>2561</v>
      </c>
      <c r="V13" s="184">
        <f t="shared" si="6"/>
        <v>10818</v>
      </c>
      <c r="W13" s="184">
        <f t="shared" si="6"/>
        <v>558</v>
      </c>
      <c r="X13" s="184">
        <f t="shared" si="6"/>
        <v>1104</v>
      </c>
      <c r="Y13" s="184">
        <f t="shared" si="6"/>
        <v>277</v>
      </c>
      <c r="Z13" s="184">
        <f t="shared" si="6"/>
        <v>234</v>
      </c>
      <c r="AA13" s="184">
        <f t="shared" si="6"/>
        <v>219</v>
      </c>
      <c r="AB13" s="184">
        <f t="shared" si="6"/>
        <v>273</v>
      </c>
      <c r="AC13" s="184">
        <f t="shared" si="6"/>
        <v>0</v>
      </c>
      <c r="AD13" s="184">
        <f t="shared" si="6"/>
        <v>0</v>
      </c>
      <c r="AE13" s="184">
        <f t="shared" si="6"/>
        <v>0</v>
      </c>
      <c r="AF13" s="184">
        <f>SUBTOTAL(9,AF9:AF12)</f>
        <v>0</v>
      </c>
      <c r="AG13" s="184">
        <f t="shared" ref="AG13:AT13" si="7">SUBTOTAL(9,AG8:AG12)</f>
        <v>320</v>
      </c>
      <c r="AH13" s="184">
        <f t="shared" si="7"/>
        <v>186</v>
      </c>
      <c r="AI13" s="184">
        <f t="shared" si="7"/>
        <v>218</v>
      </c>
      <c r="AJ13" s="184">
        <f t="shared" si="7"/>
        <v>294</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10623</v>
      </c>
      <c r="AZ13" s="184">
        <f>SUBTOTAL(9,AZ8:AZ12)</f>
        <v>3233</v>
      </c>
      <c r="BA13" s="184">
        <f>SUBTOTAL(9,BA8:BA12)</f>
        <v>2779</v>
      </c>
      <c r="BB13" s="184">
        <f>SUBTOTAL(9,BB8:BB12)</f>
        <v>11112</v>
      </c>
      <c r="BC13" s="184">
        <f>SUBTOTAL(9,BC8:BC12)</f>
        <v>1125</v>
      </c>
      <c r="BD13" s="205">
        <f>IF(ISNUMBER(BA13/AZ13),BA13/AZ13," - ")</f>
        <v>0.85957315187132699</v>
      </c>
      <c r="BE13" s="206">
        <f>IF(ISNUMBER(BB13/BA13),BB13/BA13, " - ")</f>
        <v>3.9985606333213388</v>
      </c>
      <c r="BF13" s="206">
        <f>IF(ISNUMBER(BC13/BA13),BC13/BA13, " - ")</f>
        <v>0.40482187837351563</v>
      </c>
      <c r="BG13" s="207">
        <f>IF(ISNUMBER((AY13+AZ13)/BA13),(AY13+AZ13)/BA13," - ")</f>
        <v>4.9859661748830515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3373</v>
      </c>
      <c r="J15" s="183">
        <v>2178</v>
      </c>
      <c r="K15" s="183">
        <v>2250</v>
      </c>
      <c r="L15" s="183">
        <v>3333</v>
      </c>
      <c r="M15" s="183">
        <v>485</v>
      </c>
      <c r="N15" s="183">
        <v>1300</v>
      </c>
      <c r="O15" s="181">
        <v>5</v>
      </c>
      <c r="P15" s="183">
        <v>85</v>
      </c>
      <c r="Q15" s="183">
        <v>68</v>
      </c>
      <c r="R15" s="183">
        <v>285</v>
      </c>
      <c r="S15" s="183">
        <v>3133</v>
      </c>
      <c r="T15" s="183">
        <v>2254</v>
      </c>
      <c r="U15" s="183">
        <v>2354</v>
      </c>
      <c r="V15" s="183">
        <v>3066</v>
      </c>
      <c r="W15" s="183">
        <v>493</v>
      </c>
      <c r="X15" s="189">
        <v>1058</v>
      </c>
      <c r="Y15" s="202">
        <v>0</v>
      </c>
      <c r="Z15" s="183">
        <v>0</v>
      </c>
      <c r="AA15" s="183">
        <v>0</v>
      </c>
      <c r="AB15" s="183">
        <v>0</v>
      </c>
      <c r="AC15" s="183">
        <v>0</v>
      </c>
      <c r="AD15" s="183">
        <v>17</v>
      </c>
      <c r="AE15" s="183">
        <v>17</v>
      </c>
      <c r="AF15" s="189">
        <v>0</v>
      </c>
      <c r="AG15" s="202">
        <v>0</v>
      </c>
      <c r="AH15" s="183">
        <v>0</v>
      </c>
      <c r="AI15" s="183">
        <v>0</v>
      </c>
      <c r="AJ15" s="203">
        <v>0</v>
      </c>
      <c r="AK15" s="182">
        <v>0</v>
      </c>
      <c r="AL15" s="183">
        <v>2</v>
      </c>
      <c r="AM15" s="183">
        <v>1</v>
      </c>
      <c r="AN15" s="189">
        <v>1</v>
      </c>
      <c r="AO15" s="259">
        <v>3</v>
      </c>
      <c r="AP15" s="155">
        <v>3</v>
      </c>
      <c r="AQ15" s="155">
        <v>3</v>
      </c>
      <c r="AR15" s="155">
        <v>3</v>
      </c>
      <c r="AS15" s="340" t="s">
        <v>526</v>
      </c>
      <c r="AT15" s="203" t="s">
        <v>326</v>
      </c>
      <c r="AU15" s="202"/>
      <c r="AV15" s="203"/>
      <c r="AW15" s="202"/>
      <c r="AX15" s="203"/>
      <c r="AY15" s="128">
        <f t="shared" ref="AY15:BB16" si="9">IF(ISNUMBER(IF(D_I="SI",S15,S15+AK15)),IF(D_I="SI",S15,S15+AK15)," - ")</f>
        <v>3133</v>
      </c>
      <c r="AZ15" s="129">
        <f t="shared" si="9"/>
        <v>2254</v>
      </c>
      <c r="BA15" s="129">
        <f t="shared" si="9"/>
        <v>2354</v>
      </c>
      <c r="BB15" s="129">
        <f t="shared" si="9"/>
        <v>3066</v>
      </c>
      <c r="BC15" s="125">
        <f>IF(ISNUMBER(W15),W15," - ")</f>
        <v>493</v>
      </c>
      <c r="BD15" s="126">
        <f>IF(ISNUMBER(BA15/AZ15),BA15/AZ15," - ")</f>
        <v>1.0443655723158829</v>
      </c>
      <c r="BE15" s="127">
        <f>IF(ISNUMBER(BB15/BA15),BB15/BA15, " - ")</f>
        <v>1.3024638912489379</v>
      </c>
      <c r="BF15" s="127">
        <f>IF(ISNUMBER(BC15/BA15),BC15/BA15, " - ")</f>
        <v>0.20943075615972812</v>
      </c>
      <c r="BG15" s="196">
        <f t="shared" ref="BG15:BG16" si="10">IF(ISNUMBER((AY15+AZ15)/BA15),(AY15+AZ15)/BA15," - ")</f>
        <v>2.2884451996601531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316</v>
      </c>
      <c r="J17" s="183">
        <v>315</v>
      </c>
      <c r="K17" s="183">
        <v>378</v>
      </c>
      <c r="L17" s="183">
        <v>253</v>
      </c>
      <c r="M17" s="183">
        <v>47</v>
      </c>
      <c r="N17" s="183">
        <v>323</v>
      </c>
      <c r="O17" s="183">
        <v>0</v>
      </c>
      <c r="P17" s="183">
        <v>16</v>
      </c>
      <c r="Q17" s="183">
        <v>12</v>
      </c>
      <c r="R17" s="183">
        <v>16</v>
      </c>
      <c r="S17" s="183">
        <v>368</v>
      </c>
      <c r="T17" s="183">
        <v>358</v>
      </c>
      <c r="U17" s="183">
        <v>416</v>
      </c>
      <c r="V17" s="183">
        <v>310</v>
      </c>
      <c r="W17" s="183">
        <v>58</v>
      </c>
      <c r="X17" s="189">
        <v>287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368</v>
      </c>
      <c r="AZ17" s="129">
        <f t="shared" si="14"/>
        <v>358</v>
      </c>
      <c r="BA17" s="129">
        <f t="shared" si="14"/>
        <v>416</v>
      </c>
      <c r="BB17" s="129">
        <f t="shared" si="14"/>
        <v>310</v>
      </c>
      <c r="BC17" s="125">
        <f>IF(ISNUMBER(W17),W17," - ")</f>
        <v>58</v>
      </c>
      <c r="BD17" s="126">
        <f>IF(ISNUMBER(BA17/AZ17),BA17/AZ17," - ")</f>
        <v>1.1620111731843576</v>
      </c>
      <c r="BE17" s="127">
        <f>IF(ISNUMBER(BB17/BA17),BB17/BA17, " - ")</f>
        <v>0.74519230769230771</v>
      </c>
      <c r="BF17" s="127">
        <f>IF(ISNUMBER(BC17/BA17),BC17/BA17, " - ")</f>
        <v>0.13942307692307693</v>
      </c>
      <c r="BG17" s="196">
        <f>IF(ISNUMBER((AY17+AZ17)/BA17),(AY17+AZ17)/BA17," - ")</f>
        <v>1.7451923076923077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3689</v>
      </c>
      <c r="J18" s="184">
        <f t="shared" si="15"/>
        <v>2493</v>
      </c>
      <c r="K18" s="184">
        <f t="shared" si="15"/>
        <v>2628</v>
      </c>
      <c r="L18" s="184">
        <f t="shared" si="15"/>
        <v>3586</v>
      </c>
      <c r="M18" s="184">
        <f t="shared" si="15"/>
        <v>532</v>
      </c>
      <c r="N18" s="184">
        <f t="shared" si="15"/>
        <v>1623</v>
      </c>
      <c r="O18" s="184">
        <f t="shared" si="15"/>
        <v>5</v>
      </c>
      <c r="P18" s="184">
        <f t="shared" si="15"/>
        <v>101</v>
      </c>
      <c r="Q18" s="184">
        <f t="shared" si="15"/>
        <v>80</v>
      </c>
      <c r="R18" s="184">
        <f t="shared" si="15"/>
        <v>301</v>
      </c>
      <c r="S18" s="184">
        <f t="shared" si="15"/>
        <v>3501</v>
      </c>
      <c r="T18" s="184">
        <f t="shared" si="15"/>
        <v>2612</v>
      </c>
      <c r="U18" s="184">
        <f t="shared" si="15"/>
        <v>2770</v>
      </c>
      <c r="V18" s="184">
        <f t="shared" si="15"/>
        <v>3376</v>
      </c>
      <c r="W18" s="184">
        <f t="shared" si="15"/>
        <v>551</v>
      </c>
      <c r="X18" s="184">
        <f t="shared" si="15"/>
        <v>1345</v>
      </c>
      <c r="Y18" s="184">
        <f t="shared" si="15"/>
        <v>0</v>
      </c>
      <c r="Z18" s="184">
        <f t="shared" si="15"/>
        <v>0</v>
      </c>
      <c r="AA18" s="184">
        <f t="shared" si="15"/>
        <v>0</v>
      </c>
      <c r="AB18" s="184">
        <f t="shared" si="15"/>
        <v>0</v>
      </c>
      <c r="AC18" s="184">
        <f t="shared" si="15"/>
        <v>0</v>
      </c>
      <c r="AD18" s="184">
        <f t="shared" si="15"/>
        <v>17</v>
      </c>
      <c r="AE18" s="184">
        <f t="shared" si="15"/>
        <v>17</v>
      </c>
      <c r="AF18" s="184">
        <f t="shared" si="15"/>
        <v>0</v>
      </c>
      <c r="AG18" s="184">
        <f t="shared" si="15"/>
        <v>0</v>
      </c>
      <c r="AH18" s="184">
        <f t="shared" si="15"/>
        <v>0</v>
      </c>
      <c r="AI18" s="184">
        <f t="shared" si="15"/>
        <v>0</v>
      </c>
      <c r="AJ18" s="184">
        <f t="shared" si="15"/>
        <v>0</v>
      </c>
      <c r="AK18" s="184">
        <f t="shared" si="15"/>
        <v>0</v>
      </c>
      <c r="AL18" s="184">
        <f t="shared" si="15"/>
        <v>2</v>
      </c>
      <c r="AM18" s="184">
        <f t="shared" si="15"/>
        <v>1</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3501</v>
      </c>
      <c r="AZ18" s="184">
        <f>SUBTOTAL(9,AZ14:AZ17)</f>
        <v>2612</v>
      </c>
      <c r="BA18" s="184">
        <f>SUBTOTAL(9,BA14:BA17)</f>
        <v>2770</v>
      </c>
      <c r="BB18" s="184">
        <f>SUBTOTAL(9,BB14:BB17)</f>
        <v>3376</v>
      </c>
      <c r="BC18" s="184">
        <f>SUBTOTAL(9,BC14:BC17)</f>
        <v>551</v>
      </c>
      <c r="BD18" s="205">
        <f>IF(ISNUMBER(BA18/AZ18),BA18/AZ18," - ")</f>
        <v>1.060490045941807</v>
      </c>
      <c r="BE18" s="206">
        <f>IF(ISNUMBER(BB18/BA18),BB18/BA18, " - ")</f>
        <v>1.2187725631768953</v>
      </c>
      <c r="BF18" s="206">
        <f>IF(ISNUMBER(BC18/BA18),BC18/BA18, " - ")</f>
        <v>0.19891696750902527</v>
      </c>
      <c r="BG18" s="207">
        <f>IF(ISNUMBER((AY18+AZ18)/BA18),(AY18+AZ18)/BA18," - ")</f>
        <v>2.2068592057761731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16384</v>
      </c>
      <c r="J19" s="134">
        <f t="shared" si="18"/>
        <v>7675</v>
      </c>
      <c r="K19" s="134">
        <f t="shared" si="18"/>
        <v>6183</v>
      </c>
      <c r="L19" s="134">
        <f t="shared" si="18"/>
        <v>17830</v>
      </c>
      <c r="M19" s="134">
        <f t="shared" si="18"/>
        <v>1334</v>
      </c>
      <c r="N19" s="134">
        <f t="shared" si="18"/>
        <v>3081</v>
      </c>
      <c r="O19" s="134">
        <f t="shared" si="18"/>
        <v>1947</v>
      </c>
      <c r="P19" s="134">
        <f t="shared" si="18"/>
        <v>859</v>
      </c>
      <c r="Q19" s="134">
        <f t="shared" si="18"/>
        <v>816</v>
      </c>
      <c r="R19" s="134">
        <f t="shared" si="18"/>
        <v>15802</v>
      </c>
      <c r="S19" s="134">
        <f t="shared" si="18"/>
        <v>13804</v>
      </c>
      <c r="T19" s="134">
        <f t="shared" si="18"/>
        <v>5659</v>
      </c>
      <c r="U19" s="134">
        <f t="shared" si="18"/>
        <v>5331</v>
      </c>
      <c r="V19" s="134">
        <f t="shared" si="18"/>
        <v>14194</v>
      </c>
      <c r="W19" s="134">
        <f t="shared" si="18"/>
        <v>1109</v>
      </c>
      <c r="X19" s="134">
        <f t="shared" si="18"/>
        <v>2449</v>
      </c>
      <c r="Y19" s="134">
        <f t="shared" si="18"/>
        <v>277</v>
      </c>
      <c r="Z19" s="134">
        <f t="shared" si="18"/>
        <v>234</v>
      </c>
      <c r="AA19" s="134">
        <f t="shared" si="18"/>
        <v>219</v>
      </c>
      <c r="AB19" s="134">
        <f t="shared" si="18"/>
        <v>273</v>
      </c>
      <c r="AC19" s="134">
        <f t="shared" si="18"/>
        <v>0</v>
      </c>
      <c r="AD19" s="134">
        <f t="shared" si="18"/>
        <v>17</v>
      </c>
      <c r="AE19" s="134">
        <f t="shared" si="18"/>
        <v>17</v>
      </c>
      <c r="AF19" s="134">
        <f t="shared" si="18"/>
        <v>0</v>
      </c>
      <c r="AG19" s="134">
        <f t="shared" si="18"/>
        <v>320</v>
      </c>
      <c r="AH19" s="134">
        <f t="shared" si="18"/>
        <v>186</v>
      </c>
      <c r="AI19" s="134">
        <f t="shared" si="18"/>
        <v>218</v>
      </c>
      <c r="AJ19" s="134">
        <f t="shared" si="18"/>
        <v>294</v>
      </c>
      <c r="AK19" s="134">
        <f t="shared" si="18"/>
        <v>0</v>
      </c>
      <c r="AL19" s="134">
        <f t="shared" si="18"/>
        <v>2</v>
      </c>
      <c r="AM19" s="134">
        <f t="shared" si="18"/>
        <v>1</v>
      </c>
      <c r="AN19" s="210">
        <f t="shared" si="18"/>
        <v>1</v>
      </c>
      <c r="AO19" s="211">
        <v>10</v>
      </c>
      <c r="AP19" s="211">
        <v>10</v>
      </c>
      <c r="AQ19" s="211">
        <v>10</v>
      </c>
      <c r="AR19" s="211">
        <v>10</v>
      </c>
      <c r="AS19" s="153">
        <f t="shared" si="18"/>
        <v>0</v>
      </c>
      <c r="AT19" s="153">
        <f t="shared" si="18"/>
        <v>0</v>
      </c>
      <c r="AU19" s="211"/>
      <c r="AV19" s="212"/>
      <c r="AW19" s="211"/>
      <c r="AX19" s="212"/>
      <c r="AY19" s="133">
        <f>SUBTOTAL(9,AY9:AY18)</f>
        <v>14124</v>
      </c>
      <c r="AZ19" s="134">
        <f>SUBTOTAL(9,AZ9:AZ18)</f>
        <v>5845</v>
      </c>
      <c r="BA19" s="134">
        <f>SUBTOTAL(9,BA9:BA18)</f>
        <v>5549</v>
      </c>
      <c r="BB19" s="134">
        <f>SUBTOTAL(9,BB9:BB18)</f>
        <v>14488</v>
      </c>
      <c r="BC19" s="135">
        <f>SUBTOTAL(9,BC9:BC18)</f>
        <v>1676</v>
      </c>
      <c r="BD19" s="213">
        <f>IF(ISNUMBER(BA19/AZ19),BA19/AZ19," - ")</f>
        <v>0.94935842600513254</v>
      </c>
      <c r="BE19" s="210">
        <f>IF(ISNUMBER(BB19/BA19),BB19/BA19, " - ")</f>
        <v>2.6109208866462428</v>
      </c>
      <c r="BF19" s="210">
        <f>IF(ISNUMBER(BC19/BA19),BC19/BA19, " - ")</f>
        <v>0.30203640295548745</v>
      </c>
      <c r="BG19" s="135">
        <f>IF(ISNUMBER((AY19+AZ19)/BA19),(AY19+AZ19)/BA19," - ")</f>
        <v>3.5986664263831321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9uUGctXSMQY0ANLk3ROz5hErNxJ7U9AKIMJbBIH/s6F3HfPzxolN4c22g9OAk52rbhDzmRtdgul4GA4ZFwRew==" saltValue="0fAGat8eTIMxapVZKHiVo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fZrKGi0NoJDUXSqKM7FskHFqJzBfpAMlN370XuejnLMbK4+fKvF4yWDOdMd8ZmnNEqFnpHks5i+BHxUR4rG4w==" saltValue="GOXOujnSCZudyR/WOw1O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ORIHUELA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234</v>
      </c>
      <c r="O9" s="334"/>
      <c r="P9" s="334"/>
      <c r="Q9" s="226">
        <f>IF(ISNUMBER(Datos!P9),Datos!P9,0)</f>
        <v>748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730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273</v>
      </c>
      <c r="AI9" s="334" t="str">
        <f>IF(ISNUMBER(Datos!CD9),Datos!CD9,"-")</f>
        <v>-</v>
      </c>
      <c r="AJ9" s="334" t="str">
        <f>IF(ISNUMBER(Datos!EN9),Datos!EN9," - ")</f>
        <v xml:space="preserve"> - </v>
      </c>
      <c r="AK9" s="334"/>
      <c r="AL9" s="479"/>
      <c r="AM9" s="335">
        <f>IF(ISNUMBER(Datos!R9),Datos!R9," - ")</f>
        <v>15330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776</v>
      </c>
      <c r="BD9" s="229">
        <f>IF(ISNUMBER(Datos!N9),Datos!N9," - ")</f>
        <v>1437</v>
      </c>
      <c r="BE9" s="229" t="str">
        <f>IF(ISNUMBER(Datos!BW9),Datos!BW9," - ")</f>
        <v xml:space="preserve"> - </v>
      </c>
      <c r="BF9" s="228" t="str">
        <f>IF(ISNUMBER(Datos!BX9),Datos!BX9," - ")</f>
        <v xml:space="preserve"> - </v>
      </c>
      <c r="BG9" s="243">
        <f>IF(ISNUMBER(IF(J_V="SI",Datos!K9/Datos!J9,(Datos!K9+Datos!AA9)/(Datos!J9+Datos!Z9))),IF(J_V="SI",Datos!K9/Datos!J9,(Datos!K9+Datos!AA9)/(Datos!J9+Datos!Z9))," - ")</f>
        <v>0.69470346885490486</v>
      </c>
      <c r="BH9" s="260">
        <f>IF(ISNUMBER(((IF(J_V="SI",Datos!L9/Datos!K9,(Datos!L9+Datos!AB9)/(Datos!K9+Datos!AA9)))*11)/factor_trimestre),((IF(J_V="SI",Datos!L9/Datos!K9,(Datos!L9+Datos!AB9)/(Datos!K9+Datos!AA9)))*11)/factor_trimestre," - ")</f>
        <v>11.533691275167785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1.1755485893416929E-3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191</v>
      </c>
      <c r="G10" s="333">
        <f>IF(ISNUMBER(Datos!I10),Datos!I10," - ")</f>
        <v>195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v>
      </c>
      <c r="AC10" s="226">
        <f>IF(ISNUMBER(Datos!Q10),Datos!Q10," - ")</f>
        <v>6</v>
      </c>
      <c r="AD10" s="334"/>
      <c r="AE10" s="484"/>
      <c r="AF10" s="332">
        <f>IF(ISNUMBER(Datos!L10),Datos!L10,"-")</f>
        <v>196</v>
      </c>
      <c r="AG10" s="334"/>
      <c r="AH10" s="334"/>
      <c r="AI10" s="334"/>
      <c r="AJ10" s="334"/>
      <c r="AK10" s="334"/>
      <c r="AL10" s="479"/>
      <c r="AM10" s="335">
        <f>IF(ISNUMBER(Datos!R10),Datos!R10," - ")</f>
        <v>171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21</v>
      </c>
      <c r="BE10" s="229" t="str">
        <f>IF(ISNUMBER(Datos!BW10),Datos!BW10," - ")</f>
        <v xml:space="preserve"> - </v>
      </c>
      <c r="BF10" s="228" t="str">
        <f>IF(ISNUMBER(Datos!BX10),Datos!BX10," - ")</f>
        <v xml:space="preserve"> - </v>
      </c>
      <c r="BG10" s="243">
        <f>IF(ISNUMBER(Datos!K10/Datos!J10),Datos!K10/Datos!J10," - ")</f>
        <v>0.90740740740740744</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2.3952095808383235E-2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191</v>
      </c>
      <c r="G13" s="898">
        <f t="shared" si="0"/>
        <v>195</v>
      </c>
      <c r="H13" s="899">
        <f t="shared" si="0"/>
        <v>0</v>
      </c>
      <c r="I13" s="898">
        <f t="shared" si="0"/>
        <v>0</v>
      </c>
      <c r="J13" s="867">
        <f t="shared" si="0"/>
        <v>0</v>
      </c>
      <c r="K13" s="867">
        <f t="shared" si="0"/>
        <v>0</v>
      </c>
      <c r="L13" s="899">
        <f t="shared" si="0"/>
        <v>0</v>
      </c>
      <c r="M13" s="899">
        <f t="shared" si="0"/>
        <v>0</v>
      </c>
      <c r="N13" s="899">
        <f t="shared" si="0"/>
        <v>234</v>
      </c>
      <c r="O13" s="900">
        <f t="shared" si="0"/>
        <v>0</v>
      </c>
      <c r="P13" s="900">
        <f t="shared" si="0"/>
        <v>0</v>
      </c>
      <c r="Q13" s="899">
        <f t="shared" si="0"/>
        <v>758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v>
      </c>
      <c r="AC13" s="899">
        <f t="shared" si="1"/>
        <v>736</v>
      </c>
      <c r="AD13" s="899">
        <f t="shared" si="1"/>
        <v>0</v>
      </c>
      <c r="AE13" s="899">
        <f t="shared" si="1"/>
        <v>0</v>
      </c>
      <c r="AF13" s="899">
        <f t="shared" si="1"/>
        <v>196</v>
      </c>
      <c r="AG13" s="899">
        <f t="shared" si="1"/>
        <v>0</v>
      </c>
      <c r="AH13" s="899">
        <f t="shared" si="1"/>
        <v>273</v>
      </c>
      <c r="AI13" s="899">
        <f t="shared" si="1"/>
        <v>0</v>
      </c>
      <c r="AJ13" s="899">
        <f t="shared" si="1"/>
        <v>0</v>
      </c>
      <c r="AK13" s="899">
        <f t="shared" si="1"/>
        <v>0</v>
      </c>
      <c r="AL13" s="899">
        <f t="shared" si="1"/>
        <v>0</v>
      </c>
      <c r="AM13" s="899">
        <f t="shared" si="1"/>
        <v>15501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802</v>
      </c>
      <c r="BD13" s="899">
        <f t="shared" si="1"/>
        <v>1458</v>
      </c>
      <c r="BE13" s="899">
        <f t="shared" si="1"/>
        <v>0</v>
      </c>
      <c r="BF13" s="899">
        <f t="shared" si="1"/>
        <v>0</v>
      </c>
      <c r="BG13" s="899">
        <f>IF(ISNUMBER(Datos!K13/Datos!J13),Datos!K13/Datos!J13," - ")</f>
        <v>0.68602856040138938</v>
      </c>
      <c r="BH13" s="903">
        <f>IF(ISNUMBER(((Datos!L13/Datos!K13)*11)/factor_trimestre),((Datos!L13/Datos!K13)*11)/factor_trimestre," - ")</f>
        <v>12.020253164556962</v>
      </c>
      <c r="BI13" s="899">
        <f>IF(ISNUMBER('Resol  Asuntos'!D13/NºAsuntos!G13),'Resol  Asuntos'!D13/NºAsuntos!G13," - ")</f>
        <v>0.21250662427133016</v>
      </c>
      <c r="BJ13" s="899" t="str">
        <f>IF(ISNUMBER(Datos!CI13/Datos!CJ13),Datos!CI13/Datos!CJ13," - ")</f>
        <v xml:space="preserve"> - </v>
      </c>
      <c r="BK13" s="899">
        <f>SUBTOTAL(9,BK8:BK12)</f>
        <v>0</v>
      </c>
      <c r="BL13" s="899">
        <f>IF(ISNUMBER((I13-AB13+L13)/(F13)),(I13-AB13+L13)/(F13)," - ")</f>
        <v>-0.25654450261780104</v>
      </c>
      <c r="BM13" s="904">
        <f>SUBTOTAL(9,BM9:BM12)</f>
        <v>2.5127644397724927E-2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3405</v>
      </c>
      <c r="G15" s="598">
        <f>IF(ISNUMBER(IF(D_I="SI",Datos!I15,Datos!I15+Datos!AC15)),IF(D_I="SI",Datos!I15,Datos!I15+Datos!AC15)," - ")</f>
        <v>3373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2250</v>
      </c>
      <c r="AC15" s="226">
        <f>IF(ISNUMBER(Datos!Q15),Datos!Q15," - ")</f>
        <v>68</v>
      </c>
      <c r="AD15" s="334"/>
      <c r="AE15" s="484"/>
      <c r="AF15" s="596">
        <f>IF(ISNUMBER(IF(D_I="SI",Datos!L15,Datos!L15+Datos!AF15)),IF(D_I="SI",Datos!L15,Datos!L15+Datos!AF15)," - ")</f>
        <v>3333</v>
      </c>
      <c r="AG15" s="334"/>
      <c r="AH15" s="334"/>
      <c r="AI15" s="334"/>
      <c r="AJ15" s="334"/>
      <c r="AK15" s="334"/>
      <c r="AL15" s="479"/>
      <c r="AM15" s="335">
        <f>IF(ISNUMBER(Datos!R15),Datos!R15," - ")</f>
        <v>285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485</v>
      </c>
      <c r="BD15" s="229">
        <f>IF(ISNUMBER(Datos!N15),Datos!N15," - ")</f>
        <v>1300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1.0330578512396693</v>
      </c>
      <c r="BH15" s="260">
        <f>IF(ISNUMBER(((IF(D_I="SI",Datos!L15/Datos!K15,(Datos!L15+Datos!AF15)/(Datos!K15+Datos!AE15)))*11)/factor_trimestre),((IF(D_I="SI",Datos!L15/Datos!K15,(Datos!L15+Datos!AF15)/(Datos!K15+Datos!AE15)))*11)/factor_trimestre," - ")</f>
        <v>4.4440000000000008</v>
      </c>
      <c r="BI15" s="243">
        <f>IF(ISNUMBER('Resol  Asuntos'!D15/NºAsuntos!G15),'Resol  Asuntos'!D15/NºAsuntos!G15," - ")</f>
        <v>0.21555555555555556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378</v>
      </c>
      <c r="AC17" s="226">
        <f>IF(ISNUMBER(Datos!Q17),Datos!Q17," - ")</f>
        <v>12</v>
      </c>
      <c r="AD17" s="334"/>
      <c r="AE17" s="484"/>
      <c r="AF17" s="332">
        <f>IF(ISNUMBER(Datos!L17),Datos!L17,"-")</f>
        <v>253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323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v>
      </c>
      <c r="BH17" s="260">
        <f>IF(ISNUMBER(((IF(D_I="SI",Datos!L17/Datos!K17,(Datos!L17+Datos!AF17)/(Datos!K17+Datos!AE17)))*11)/factor_trimestre),((IF(D_I="SI",Datos!L17/Datos!K17,(Datos!L17+Datos!AF17)/(Datos!K17+Datos!AE17)))*11)/factor_trimestre," - ")</f>
        <v>2.0079365079365079</v>
      </c>
      <c r="BI17" s="243">
        <f>IF(ISNUMBER('Resol  Asuntos'!D17/NºAsuntos!G17),'Resol  Asuntos'!D17/NºAsuntos!G17," - ")</f>
        <v>0.12433862433862433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3405</v>
      </c>
      <c r="G18" s="898">
        <f>SUBTOTAL(9,G15:G17)</f>
        <v>3689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2628</v>
      </c>
      <c r="AC18" s="899">
        <f t="shared" si="4"/>
        <v>80</v>
      </c>
      <c r="AD18" s="899">
        <f t="shared" si="4"/>
        <v>0</v>
      </c>
      <c r="AE18" s="899">
        <f t="shared" si="4"/>
        <v>0</v>
      </c>
      <c r="AF18" s="899">
        <f t="shared" si="4"/>
        <v>3586</v>
      </c>
      <c r="AG18" s="899">
        <f t="shared" si="4"/>
        <v>0</v>
      </c>
      <c r="AH18" s="899">
        <f t="shared" si="4"/>
        <v>0</v>
      </c>
      <c r="AI18" s="899">
        <f t="shared" si="4"/>
        <v>0</v>
      </c>
      <c r="AJ18" s="899">
        <f t="shared" si="4"/>
        <v>0</v>
      </c>
      <c r="AK18" s="899">
        <f t="shared" si="4"/>
        <v>0</v>
      </c>
      <c r="AL18" s="899">
        <f t="shared" si="4"/>
        <v>0</v>
      </c>
      <c r="AM18" s="899">
        <f t="shared" si="4"/>
        <v>301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532</v>
      </c>
      <c r="BD18" s="899">
        <f t="shared" si="4"/>
        <v>1623</v>
      </c>
      <c r="BE18" s="899">
        <f t="shared" si="4"/>
        <v>0</v>
      </c>
      <c r="BF18" s="899">
        <f t="shared" si="4"/>
        <v>0</v>
      </c>
      <c r="BG18" s="899">
        <f>IF(ISNUMBER(Datos!K18/Datos!J18),Datos!K18/Datos!J18," - ")</f>
        <v>1.0541516245487366</v>
      </c>
      <c r="BH18" s="903">
        <f>IF(ISNUMBER(((Datos!L18/Datos!K18)*11)/factor_trimestre),((Datos!L18/Datos!K18)*11)/factor_trimestre," - ")</f>
        <v>4.0936073059360734</v>
      </c>
      <c r="BI18" s="899">
        <f>SUBTOTAL(9,BI15:BI17)</f>
        <v>0.33989417989417992</v>
      </c>
      <c r="BJ18" s="899">
        <f>SUBTOTAL(9,BJ15:BJ17)</f>
        <v>0</v>
      </c>
      <c r="BK18" s="899">
        <f>SUBTOTAL(9,BK15:BK17)</f>
        <v>0</v>
      </c>
      <c r="BL18" s="899">
        <f>IF(ISNUMBER((I18-AB18+L18)/(F18)),(I18-AB18+L18)/(F18)," - ")</f>
        <v>-0.77180616740088104</v>
      </c>
      <c r="BM18" s="905">
        <f>IF(ISNUMBER((Datos!P18-Datos!Q18)/(Datos!R18-Datos!P18+Datos!Q18)),(Datos!P18-Datos!Q18)/(Datos!R18-Datos!P18+Datos!Q18)," - ")</f>
        <v>7.4999999999999997E-2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3596</v>
      </c>
      <c r="G19" s="820">
        <f t="shared" si="6"/>
        <v>3884</v>
      </c>
      <c r="H19" s="822">
        <f t="shared" si="6"/>
        <v>0</v>
      </c>
      <c r="I19" s="820">
        <f t="shared" si="6"/>
        <v>0</v>
      </c>
      <c r="J19" s="822">
        <f t="shared" si="6"/>
        <v>0</v>
      </c>
      <c r="K19" s="822">
        <f t="shared" si="6"/>
        <v>0</v>
      </c>
      <c r="L19" s="881">
        <f t="shared" si="6"/>
        <v>0</v>
      </c>
      <c r="M19" s="881">
        <f t="shared" si="6"/>
        <v>0</v>
      </c>
      <c r="N19" s="881">
        <f t="shared" si="6"/>
        <v>234</v>
      </c>
      <c r="O19" s="881">
        <f t="shared" si="6"/>
        <v>0</v>
      </c>
      <c r="P19" s="881">
        <f t="shared" si="6"/>
        <v>0</v>
      </c>
      <c r="Q19" s="822">
        <f t="shared" si="6"/>
        <v>859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2677</v>
      </c>
      <c r="AC19" s="821">
        <f t="shared" si="7"/>
        <v>816</v>
      </c>
      <c r="AD19" s="821">
        <f t="shared" si="7"/>
        <v>0</v>
      </c>
      <c r="AE19" s="821">
        <f t="shared" si="7"/>
        <v>0</v>
      </c>
      <c r="AF19" s="828">
        <f t="shared" si="7"/>
        <v>3782</v>
      </c>
      <c r="AG19" s="828">
        <f t="shared" si="7"/>
        <v>0</v>
      </c>
      <c r="AH19" s="828">
        <f t="shared" si="7"/>
        <v>273</v>
      </c>
      <c r="AI19" s="828">
        <f t="shared" si="7"/>
        <v>0</v>
      </c>
      <c r="AJ19" s="821">
        <f t="shared" si="7"/>
        <v>0</v>
      </c>
      <c r="AK19" s="828">
        <f t="shared" si="7"/>
        <v>0</v>
      </c>
      <c r="AL19" s="828">
        <f t="shared" si="7"/>
        <v>0</v>
      </c>
      <c r="AM19" s="828">
        <f t="shared" si="7"/>
        <v>15802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1334</v>
      </c>
      <c r="BD19" s="820">
        <f t="shared" si="7"/>
        <v>3081</v>
      </c>
      <c r="BE19" s="820">
        <f t="shared" si="7"/>
        <v>0</v>
      </c>
      <c r="BF19" s="830">
        <f t="shared" si="7"/>
        <v>0</v>
      </c>
      <c r="BG19" s="915">
        <f>IF(ISNUMBER(Datos!K19/Datos!J19),Datos!K19/Datos!J19," - ")</f>
        <v>0.80560260586319221</v>
      </c>
      <c r="BH19" s="915">
        <f>IF(ISNUMBER(((Datos!L19/Datos!K19)*11)/factor_trimestre),((Datos!L19/Datos!K19)*11)/factor_trimestre," - ")</f>
        <v>8.6511402231926251</v>
      </c>
      <c r="BI19" s="813">
        <f>IF(ISNUMBER(Datos!J19/Datos!I19),Datos!J19/Datos!I19," - ")</f>
        <v>0.46844482421875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-0.74443826473859842</v>
      </c>
      <c r="BM19" s="889">
        <f>IF(ISNUMBER((Datos!P19-Datos!Q19+R19)/(Datos!R19-Datos!P19+Datos!Q19-R19)),(Datos!P19-Datos!Q19+R19)/(Datos!R19-Datos!P19+Datos!Q19-R19)," - ")</f>
        <v>2.7285995304270577E-3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1855.6037651754573</v>
      </c>
      <c r="G21" s="552">
        <f>IF(ISNUMBER(STDEV(G8:G18)),STDEV(G8:G18),"-")</f>
        <v>1809.2395640157772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1263.2801352035897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340.62980883455674</v>
      </c>
      <c r="BD21" s="551"/>
      <c r="BE21" s="551">
        <f>IF(ISNUMBER(STDEV(BE8:BE18)),STDEV(BE8:BE18),"-")</f>
        <v>0</v>
      </c>
      <c r="BF21" s="556">
        <f>IF(ISNUMBER(STDEV(BF8:BF18)),STDEV(BF8:BF18),"-")</f>
        <v>0</v>
      </c>
      <c r="BG21" s="775">
        <f>IF(ISNUMBER(STDEV(BG8:BG18)),STDEV(BG8:BG18),"-")</f>
        <v>0.20704003829845077</v>
      </c>
      <c r="BH21" s="776">
        <f>IF(ISNUMBER(STDEV(BH8:BH18)),STDEV(BH8:BH18),"-")</f>
        <v>4.6445082299876317</v>
      </c>
      <c r="BI21" s="249">
        <f>IF(ISNUMBER(STDEV(BI8:BI18)),STDEV(BI8:BI18),"-")</f>
        <v>8.8626228762330006E-2</v>
      </c>
      <c r="BJ21" s="230" t="str">
        <f>IF(ISNUMBER(BL21/BM21),BL21/BM21," - ")</f>
        <v xml:space="preserve"> - </v>
      </c>
      <c r="BK21" s="575"/>
      <c r="BL21" s="559">
        <f>IF(ISNUMBER(STDEV(BL8:BL18)),STDEV(BL8:BL18),"-")</f>
        <v>0.36434501725358565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6Uwg5izieMCIoVXcK06bPL2zceBZXqiAvipRUsDD/jHMmdFVj3XTU6Mgcp2Ze4YqxHfF2VxVOn7WOsGkCqcAg==" saltValue="3oM8vHhn17ws8esbrQ2C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ORIHUELA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730</v>
      </c>
      <c r="AA9" s="332" t="str">
        <f>IF(ISNUMBER(IF(J_V="SI",Datos!L9,Datos!L9+Datos!AB9)-IF(Monitorios="SI",Datos!CD9,0)),
                          IF(J_V="SI",Datos!L9,Datos!L9+Datos!AB9)-IF(Monitorios="SI",Datos!CD9,0),
                          " - ")</f>
        <v xml:space="preserve"> - </v>
      </c>
      <c r="AB9" s="334"/>
      <c r="AC9" s="334"/>
      <c r="AD9" s="484"/>
      <c r="AE9" s="484">
        <f>IF(ISNUMBER(Datos!R9),Datos!R9," - ")</f>
        <v>15330</v>
      </c>
      <c r="AF9" s="229" t="str">
        <f>IF(ISNUMBER(Datos!BV9),Datos!BV9," - ")</f>
        <v xml:space="preserve"> - </v>
      </c>
      <c r="AG9" s="225" t="str">
        <f>IF(ISNUMBER(Datos!DV9),Datos!DV9," - ")</f>
        <v xml:space="preserve"> - </v>
      </c>
      <c r="AH9" s="298"/>
      <c r="AI9" s="227"/>
      <c r="AJ9" s="225">
        <f>IF(ISNUMBER(Datos!M9),Datos!M9," - ")</f>
        <v>776</v>
      </c>
      <c r="AK9" s="229">
        <f>IF(ISNUMBER(Datos!N9),Datos!N9," - ")</f>
        <v>1437</v>
      </c>
      <c r="AL9" s="229" t="str">
        <f>IF(ISNUMBER(Datos!BW9),Datos!BW9," - ")</f>
        <v xml:space="preserve"> - </v>
      </c>
      <c r="AM9" s="228" t="str">
        <f>IF(ISNUMBER(Datos!BX9),Datos!BX9," - ")</f>
        <v xml:space="preserve"> - </v>
      </c>
      <c r="AN9" s="243"/>
      <c r="AO9" s="260">
        <f>IF(ISNUMBER(((NºAsuntos!I9/NºAsuntos!G9)*11)/factor_trimestre),((NºAsuntos!I9/NºAsuntos!G9)*11)/factor_trimestre," - ")</f>
        <v>11.533691275167785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1.1755485893416929E-3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191</v>
      </c>
      <c r="G10" s="225">
        <f>IF(ISNUMBER(Datos!I10),Datos!I10," - ")</f>
        <v>195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v>
      </c>
      <c r="Z10" s="619">
        <f>IF(ISNUMBER(Datos!Q10),Datos!Q10," - ")</f>
        <v>6</v>
      </c>
      <c r="AA10" s="332">
        <f>IF(ISNUMBER(Datos!L10),Datos!L10,"-")</f>
        <v>196</v>
      </c>
      <c r="AB10" s="334"/>
      <c r="AC10" s="334"/>
      <c r="AD10" s="484"/>
      <c r="AE10" s="484">
        <f>IF(ISNUMBER(Datos!R10),Datos!R10," - ")</f>
        <v>171</v>
      </c>
      <c r="AF10" s="229" t="str">
        <f>IF(ISNUMBER(Datos!BV10),Datos!BV10," - ")</f>
        <v xml:space="preserve"> - </v>
      </c>
      <c r="AG10" s="225" t="str">
        <f>IF(ISNUMBER(Datos!DV10),Datos!DV10," - ")</f>
        <v xml:space="preserve"> - </v>
      </c>
      <c r="AH10" s="298"/>
      <c r="AI10" s="227"/>
      <c r="AJ10" s="225">
        <f>IF(ISNUMBER(Datos!M10),Datos!M10," - ")</f>
        <v>26</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2.3952095808383235E-2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191</v>
      </c>
      <c r="G13" s="898">
        <f>SUBTOTAL(9,G8:G12)</f>
        <v>195</v>
      </c>
      <c r="H13" s="908"/>
      <c r="I13" s="898">
        <f t="shared" ref="I13:N13" si="0">SUBTOTAL(9,I8:I12)</f>
        <v>0</v>
      </c>
      <c r="J13" s="867">
        <f t="shared" si="0"/>
        <v>0</v>
      </c>
      <c r="K13" s="908">
        <f t="shared" si="0"/>
        <v>0</v>
      </c>
      <c r="L13" s="908">
        <f t="shared" si="0"/>
        <v>0</v>
      </c>
      <c r="M13" s="908">
        <f t="shared" si="0"/>
        <v>0</v>
      </c>
      <c r="N13" s="908">
        <f t="shared" si="0"/>
        <v>758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v>
      </c>
      <c r="Z13" s="907">
        <f t="shared" si="2"/>
        <v>736</v>
      </c>
      <c r="AA13" s="900">
        <f t="shared" si="2"/>
        <v>196</v>
      </c>
      <c r="AB13" s="900">
        <f t="shared" si="2"/>
        <v>0</v>
      </c>
      <c r="AC13" s="900">
        <f t="shared" si="2"/>
        <v>0</v>
      </c>
      <c r="AD13" s="900">
        <f t="shared" si="2"/>
        <v>0</v>
      </c>
      <c r="AE13" s="900">
        <f t="shared" si="2"/>
        <v>15501</v>
      </c>
      <c r="AF13" s="908">
        <f t="shared" si="2"/>
        <v>0</v>
      </c>
      <c r="AG13" s="908">
        <f t="shared" si="2"/>
        <v>0</v>
      </c>
      <c r="AH13" s="908">
        <f t="shared" si="2"/>
        <v>0</v>
      </c>
      <c r="AI13" s="908">
        <f t="shared" si="2"/>
        <v>0</v>
      </c>
      <c r="AJ13" s="908">
        <f t="shared" si="2"/>
        <v>802</v>
      </c>
      <c r="AK13" s="908">
        <f t="shared" si="2"/>
        <v>1458</v>
      </c>
      <c r="AL13" s="908">
        <f t="shared" si="2"/>
        <v>0</v>
      </c>
      <c r="AM13" s="908">
        <f t="shared" si="2"/>
        <v>0</v>
      </c>
      <c r="AN13" s="908">
        <f t="shared" si="2"/>
        <v>0</v>
      </c>
      <c r="AO13" s="904">
        <f>IF(ISNUMBER(((NºAsuntos!I13/NºAsuntos!G13)*11)/factor_trimestre),((NºAsuntos!I13/NºAsuntos!G13)*11)/factor_trimestre," - ")</f>
        <v>11.539745627980922</v>
      </c>
      <c r="AP13" s="910" t="str">
        <f>IF(ISNUMBER(Datos!CI13/Datos!CJ13),Datos!CI13/Datos!CJ13," - ")</f>
        <v xml:space="preserve"> - </v>
      </c>
      <c r="AQ13" s="928">
        <f t="shared" ref="AQ13:AV13" si="3">SUBTOTAL(9,AQ9:AQ12)</f>
        <v>0</v>
      </c>
      <c r="AR13" s="928">
        <f t="shared" si="3"/>
        <v>2.5127644397724927E-2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3405</v>
      </c>
      <c r="G15" s="225">
        <f>IF(ISNUMBER(IF(D_I="SI",Datos!I15,Datos!I15+Datos!AC15)),IF(D_I="SI",Datos!I15,Datos!I15+Datos!AC15)," - ")</f>
        <v>3373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2250</v>
      </c>
      <c r="Z15" s="619">
        <f>IF(ISNUMBER(Datos!Q15),Datos!Q15," - ")</f>
        <v>68</v>
      </c>
      <c r="AA15" s="332">
        <f>IF(ISNUMBER(IF(D_I="SI",Datos!L15,Datos!L15+Datos!AF15)),IF(D_I="SI",Datos!L15,Datos!L15+Datos!AF15)," - ")</f>
        <v>3333</v>
      </c>
      <c r="AB15" s="334"/>
      <c r="AC15" s="334"/>
      <c r="AD15" s="484"/>
      <c r="AE15" s="484">
        <f>IF(ISNUMBER(Datos!R15),Datos!R15," - ")</f>
        <v>285</v>
      </c>
      <c r="AF15" s="229" t="str">
        <f>IF(ISNUMBER(Datos!BV15),Datos!BV15," - ")</f>
        <v xml:space="preserve"> - </v>
      </c>
      <c r="AG15" s="225"/>
      <c r="AH15" s="298"/>
      <c r="AI15" s="227"/>
      <c r="AJ15" s="225">
        <f>IF(ISNUMBER(Datos!M15),Datos!M15," - ")</f>
        <v>485</v>
      </c>
      <c r="AK15" s="229">
        <f>IF(ISNUMBER(Datos!N15),Datos!N15," - ")</f>
        <v>1300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4.4440000000000008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378</v>
      </c>
      <c r="Z17" s="619">
        <f>IF(ISNUMBER(Datos!Q17),Datos!Q17," - ")</f>
        <v>12</v>
      </c>
      <c r="AA17" s="332">
        <f>IF(ISNUMBER(Datos!L17),Datos!L17,"-")</f>
        <v>253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47</v>
      </c>
      <c r="AK17" s="229">
        <f>IF(ISNUMBER(Datos!N17),Datos!N17," - ")</f>
        <v>323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2.0079365079365079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3405</v>
      </c>
      <c r="G18" s="898">
        <f>SUBTOTAL(9,G15:G17)</f>
        <v>3689</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2628</v>
      </c>
      <c r="Z18" s="932">
        <f t="shared" si="5"/>
        <v>80</v>
      </c>
      <c r="AA18" s="932">
        <f t="shared" si="5"/>
        <v>3586</v>
      </c>
      <c r="AB18" s="932">
        <f t="shared" si="5"/>
        <v>0</v>
      </c>
      <c r="AC18" s="932">
        <f t="shared" si="5"/>
        <v>0</v>
      </c>
      <c r="AD18" s="932">
        <f t="shared" si="5"/>
        <v>0</v>
      </c>
      <c r="AE18" s="932">
        <f t="shared" si="5"/>
        <v>301</v>
      </c>
      <c r="AF18" s="932">
        <f t="shared" si="5"/>
        <v>0</v>
      </c>
      <c r="AG18" s="932">
        <f t="shared" si="5"/>
        <v>0</v>
      </c>
      <c r="AH18" s="932">
        <f t="shared" si="5"/>
        <v>0</v>
      </c>
      <c r="AI18" s="932">
        <f t="shared" si="5"/>
        <v>0</v>
      </c>
      <c r="AJ18" s="932">
        <f t="shared" si="5"/>
        <v>532</v>
      </c>
      <c r="AK18" s="932">
        <f t="shared" si="5"/>
        <v>1623</v>
      </c>
      <c r="AL18" s="932">
        <f t="shared" si="5"/>
        <v>0</v>
      </c>
      <c r="AM18" s="932">
        <f t="shared" si="5"/>
        <v>0</v>
      </c>
      <c r="AN18" s="932">
        <f t="shared" si="5"/>
        <v>0</v>
      </c>
      <c r="AO18" s="934">
        <f>IF(ISNUMBER(((NºAsuntos!I18/NºAsuntos!G18)*11)/factor_trimestre),((NºAsuntos!I18/NºAsuntos!G18)*11)/factor_trimestre," - ")</f>
        <v>4.0936073059360734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3596</v>
      </c>
      <c r="G19" s="820">
        <f t="shared" si="7"/>
        <v>3884</v>
      </c>
      <c r="H19" s="821">
        <f t="shared" si="7"/>
        <v>0</v>
      </c>
      <c r="I19" s="820">
        <f t="shared" si="7"/>
        <v>0</v>
      </c>
      <c r="J19" s="822">
        <f t="shared" si="7"/>
        <v>0</v>
      </c>
      <c r="K19" s="820">
        <f t="shared" si="7"/>
        <v>0</v>
      </c>
      <c r="L19" s="823">
        <f t="shared" si="7"/>
        <v>0</v>
      </c>
      <c r="M19" s="820">
        <f t="shared" si="7"/>
        <v>0</v>
      </c>
      <c r="N19" s="821">
        <f t="shared" si="7"/>
        <v>859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2677</v>
      </c>
      <c r="Z19" s="827">
        <f t="shared" si="8"/>
        <v>816</v>
      </c>
      <c r="AA19" s="828">
        <f t="shared" si="8"/>
        <v>3782</v>
      </c>
      <c r="AB19" s="828">
        <f t="shared" si="8"/>
        <v>0</v>
      </c>
      <c r="AC19" s="828">
        <f t="shared" si="8"/>
        <v>0</v>
      </c>
      <c r="AD19" s="829">
        <f t="shared" si="8"/>
        <v>0</v>
      </c>
      <c r="AE19" s="829">
        <f t="shared" si="8"/>
        <v>15802</v>
      </c>
      <c r="AF19" s="830">
        <f t="shared" si="8"/>
        <v>0</v>
      </c>
      <c r="AG19" s="831">
        <f t="shared" si="8"/>
        <v>0</v>
      </c>
      <c r="AH19" s="832">
        <f t="shared" si="8"/>
        <v>0</v>
      </c>
      <c r="AI19" s="830">
        <f t="shared" si="8"/>
        <v>0</v>
      </c>
      <c r="AJ19" s="820">
        <f t="shared" si="8"/>
        <v>1334</v>
      </c>
      <c r="AK19" s="820">
        <f t="shared" si="8"/>
        <v>3081</v>
      </c>
      <c r="AL19" s="820">
        <f t="shared" si="8"/>
        <v>0</v>
      </c>
      <c r="AM19" s="833">
        <f t="shared" si="8"/>
        <v>0</v>
      </c>
      <c r="AN19" s="823">
        <f>IF(ISNUMBER(Datos!K19/Datos!J19),Datos!K19/Datos!J19," - ")</f>
        <v>0.80560260586319221</v>
      </c>
      <c r="AO19" s="823">
        <f>IF(ISNUMBER(FIND("06",Criterios!A8,1)),(IF(ISNUMBER(((Datos!R19/Datos!Q19)*11)/factor_trimestre),((Datos!R19/Datos!Q19)*11)/factor_trimestre," - ")),(IF(ISNUMBER(((Datos!L19/Datos!K19)*11)/factor_trimestre),((Datos!L19/Datos!K19)*11)/factor_trimestre," - ")))</f>
        <v>8.6511402231926251</v>
      </c>
      <c r="AP19" s="834" t="str">
        <f>IF(ISNUMBER(Datos!CI19/Datos!CJ19),Datos!CI19/Datos!CJ19," - ")</f>
        <v xml:space="preserve"> - </v>
      </c>
      <c r="AQ19" s="834">
        <f>IF(OR(ISNUMBER(FIND("01",Criterios!A8,1)),ISNUMBER(FIND("02",Criterios!A8,1)),ISNUMBER(FIND("03",Criterios!A8,1)),ISNUMBER(FIND("04",Criterios!A8,1))),(J19-Y19+K19)/(F19-K19),(I19-Y19+K19)/(F19-K19))</f>
        <v>-0.74443826473859842</v>
      </c>
      <c r="AR19" s="834">
        <f>IF(ISNUMBER((Datos!P19-Datos!Q19+O19)/(Datos!R19-Datos!P19+Datos!Q19-O19)),(Datos!P19-Datos!Q19+O19)/(Datos!R19-Datos!P19+Datos!Q19-O19)," - ")</f>
        <v>2.7285995304270577E-3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1855.6037651754573</v>
      </c>
      <c r="G21" s="552">
        <f>IF(ISNUMBER(STDEV(G8:G18)),STDEV(G8:G18),"-")</f>
        <v>1809.2395640157772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340.62980883455674</v>
      </c>
      <c r="AK21" s="252"/>
      <c r="AL21" s="252">
        <f>IF(ISNUMBER(STDEV(AL8:AL18)),STDEV(AL8:AL18),"-")</f>
        <v>0</v>
      </c>
      <c r="AM21" s="254">
        <f>IF(ISNUMBER(STDEV(AM8:AM18)),STDEV(AM8:AM18),"-")</f>
        <v>0</v>
      </c>
      <c r="AN21" s="539">
        <f>IF(ISNUMBER(STDEV(AN8:AN18)),STDEV(AN8:AN18),"-")</f>
        <v>0</v>
      </c>
      <c r="AO21" s="540">
        <f>IF(ISNUMBER(STDEV(AO8:AO18)),STDEV(AO8:AO18),"-")</f>
        <v>4.558108433137086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yCa9WWNeJh23R88N/VvlRA1VyhyJ32o3zDBCw7Vai6M1vUIYCbpmxI8oNJItcVaBd7bYitR8flSMLritZB46Q==" saltValue="w49tHtElEWcERG+XpRm/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9hUNj253SaoLKbu5tZ/gDYpIGRgXMFOwlw8MB0oHQ/V/rlGQvyOLPuTjHDgt2hO5vY66lULzzVmFtEskYxyUw==" saltValue="J69z9yRgDiL5ozJFwpEX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W0ohR4h0bOjUGbT0Ud1sAB3YK5xSKyGIOjMro9P0qlwMgLgWSHGkZ0aqa6X0bEnR7xrIzOAYdgNH4CGAUA8w==" saltValue="8lhmQgcxhQlnXwJ/71gL1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ORIHUELA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0.21250662427133016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0.15026487506931932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dN916fB4Y4VvSWC7YMsVchOztdEENeboRT7vWZviSoN2fyL/HflrFIqMPvYodG0RFl+v0gfZyhI7ta3FrxJtg==" saltValue="vNs3kjWUk4+HJjAkgg6DM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tQS10IeH+38hrlZjlNgb40EeH5oh6LiM10KukKrxczZBG8m8CwAOQ7fcWPpOrchdaX5F87p8kWZZtmxtL/jaQ==" saltValue="fQvfmVcH1+kPWXpgozlE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ORIHUELA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12777</v>
      </c>
      <c r="D9" s="404">
        <f>IF(ISNUMBER(C9/Datos!BH9),C9/Datos!BH9," - ")</f>
        <v>2129.5</v>
      </c>
      <c r="E9" s="403">
        <f>IF(ISNUMBER(IF(J_V="SI",Datos!J9,Datos!J9+Datos!Z9)),IF(J_V="SI",Datos!J9,Datos!J9+Datos!Z9)," - ")</f>
        <v>5362</v>
      </c>
      <c r="F9" s="404">
        <f>IF(ISNUMBER(E9/B9),E9/B9," - ")</f>
        <v>893.66666666666663</v>
      </c>
      <c r="G9" s="403">
        <f>IF(ISNUMBER(IF(J_V="SI",Datos!K9,Datos!K9+Datos!AA9)),IF(J_V="SI",Datos!K9,Datos!K9+Datos!AA9)," - ")</f>
        <v>3725</v>
      </c>
      <c r="H9" s="404">
        <f>IF(ISNUMBER(G9/B9),G9/B9," - ")</f>
        <v>620.83333333333337</v>
      </c>
      <c r="I9" s="403">
        <f>IF(ISNUMBER(IF(J_V="SI",Datos!L9,Datos!L9+Datos!AB9)),IF(J_V="SI",Datos!L9,Datos!L9+Datos!AB9)," - ")</f>
        <v>14321</v>
      </c>
      <c r="J9" s="404">
        <f>IF(ISNUMBER(I9/B9),I9/B9," - ")</f>
        <v>2386.8333333333335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195</v>
      </c>
      <c r="D10" s="404">
        <f>IF(ISNUMBER(C10/Datos!BH10),C10/Datos!BH10," - ")</f>
        <v>195</v>
      </c>
      <c r="E10" s="403">
        <f>IF(ISNUMBER(Datos!J10),Datos!J10," - ")</f>
        <v>54</v>
      </c>
      <c r="F10" s="404">
        <f>IF(ISNUMBER(E10/B10),E10/B10," - ")</f>
        <v>54</v>
      </c>
      <c r="G10" s="403">
        <f>IF(ISNUMBER(Datos!K10),Datos!K10," - ")</f>
        <v>49</v>
      </c>
      <c r="H10" s="404">
        <f>IF(ISNUMBER(G10/B10),G10/B10," - ")</f>
        <v>49</v>
      </c>
      <c r="I10" s="403">
        <f>IF(ISNUMBER(Datos!L10),Datos!L10," - ")</f>
        <v>196</v>
      </c>
      <c r="J10" s="404">
        <f>IF(ISNUMBER(I10/B10),I10/B10," - ")</f>
        <v>196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12972</v>
      </c>
      <c r="D13" s="850" t="str">
        <f>IF(ISNUMBER(C13/Datos!BI13),C13/Datos!BI13," - ")</f>
        <v xml:space="preserve"> - </v>
      </c>
      <c r="E13" s="849">
        <f>SUBTOTAL(9,E8:E12)</f>
        <v>5416</v>
      </c>
      <c r="F13" s="850">
        <f>IF(ISNUMBER(E13/B13),E13/B13," - ")</f>
        <v>773.71428571428567</v>
      </c>
      <c r="G13" s="849">
        <f>SUBTOTAL(9,G8:G12)</f>
        <v>3774</v>
      </c>
      <c r="H13" s="850">
        <f>IF(ISNUMBER(G13/B13),G13/B13," - ")</f>
        <v>539.14285714285711</v>
      </c>
      <c r="I13" s="849">
        <f>SUBTOTAL(9,I8:I12)</f>
        <v>14517</v>
      </c>
      <c r="J13" s="850">
        <f>IF(ISNUMBER(I13/B13),I13/B13," - ")</f>
        <v>2073.8571428571427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3373</v>
      </c>
      <c r="D15" s="404">
        <f>IF(ISNUMBER(C15/Datos!BH15),C15/Datos!BH15," - ")</f>
        <v>1124.3333333333333</v>
      </c>
      <c r="E15" s="403">
        <f>IF(ISNUMBER(IF(D_I="SI",Datos!J15,Datos!J15+Datos!AD15)),IF(D_I="SI",Datos!J15,Datos!J15+Datos!AD15)," - ")</f>
        <v>2178</v>
      </c>
      <c r="F15" s="404">
        <f>IF(ISNUMBER(E15/B15),E15/B15," - ")</f>
        <v>726</v>
      </c>
      <c r="G15" s="403">
        <f>IF(ISNUMBER(IF(D_I="SI",Datos!K15,Datos!K15+Datos!AE15)),IF(D_I="SI",Datos!K15,Datos!K15+Datos!AE15)," - ")</f>
        <v>2250</v>
      </c>
      <c r="H15" s="404">
        <f>IF(ISNUMBER(G15/B15),G15/B15," - ")</f>
        <v>750</v>
      </c>
      <c r="I15" s="403">
        <f>IF(ISNUMBER(IF(D_I="SI",Datos!L15,Datos!L15+Datos!AF15)),IF(D_I="SI",Datos!L15,Datos!L15+Datos!AF15)," - ")</f>
        <v>3333</v>
      </c>
      <c r="J15" s="404">
        <f>IF(ISNUMBER(I15/B15),I15/B15," - ")</f>
        <v>1111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316</v>
      </c>
      <c r="D17" s="404">
        <f>IF(ISNUMBER(C17/Datos!BH17),C17/Datos!BH17," - ")</f>
        <v>316</v>
      </c>
      <c r="E17" s="403">
        <f>IF(ISNUMBER(IF(D_I="SI",Datos!J17,Datos!J17+Datos!AD17)),IF(D_I="SI",Datos!J17,Datos!J17+Datos!AD17)," - ")</f>
        <v>315</v>
      </c>
      <c r="F17" s="404">
        <f>IF(ISNUMBER(E17/B17),E17/B17," - ")</f>
        <v>315</v>
      </c>
      <c r="G17" s="403">
        <f>IF(ISNUMBER(IF(D_I="SI",Datos!K17,Datos!K17+Datos!AE17)),IF(D_I="SI",Datos!K17,Datos!K17+Datos!AE17)," - ")</f>
        <v>378</v>
      </c>
      <c r="H17" s="404">
        <f>IF(ISNUMBER(G17/B17),G17/B17," - ")</f>
        <v>378</v>
      </c>
      <c r="I17" s="403">
        <f>IF(ISNUMBER(IF(D_I="SI",Datos!L17,Datos!L17+Datos!AF17)),IF(D_I="SI",Datos!L17,Datos!L17+Datos!AF17)," - ")</f>
        <v>253</v>
      </c>
      <c r="J17" s="404">
        <f>IF(ISNUMBER(I17/B17),I17/B17," - ")</f>
        <v>253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3689</v>
      </c>
      <c r="D18" s="850" t="str">
        <f>IF(ISNUMBER(C18/Datos!BI18),C18/Datos!BI18," - ")</f>
        <v xml:space="preserve"> - </v>
      </c>
      <c r="E18" s="849">
        <f>SUBTOTAL(9,E14:E17)</f>
        <v>2493</v>
      </c>
      <c r="F18" s="850">
        <f>IF(ISNUMBER(E18/B18),E18/B18," - ")</f>
        <v>623.25</v>
      </c>
      <c r="G18" s="849">
        <f>SUBTOTAL(9,G14:G17)</f>
        <v>2628</v>
      </c>
      <c r="H18" s="850">
        <f>IF(ISNUMBER(G18/B18),G18/B18," - ")</f>
        <v>657</v>
      </c>
      <c r="I18" s="849">
        <f>SUBTOTAL(9,I14:I17)</f>
        <v>3586</v>
      </c>
      <c r="J18" s="850">
        <f>IF(ISNUMBER(I18/B18),I18/B18," - ")</f>
        <v>896.5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16661</v>
      </c>
      <c r="D19" s="795" t="str">
        <f>IF(ISNUMBER(C19/Datos!BI19),C19/Datos!BI19," - ")</f>
        <v xml:space="preserve"> - </v>
      </c>
      <c r="E19" s="794">
        <f>SUBTOTAL(9,E9:E18)</f>
        <v>7909</v>
      </c>
      <c r="F19" s="795">
        <f>IF(ISNUMBER(E19/B19),E19/B19," - ")</f>
        <v>790.9</v>
      </c>
      <c r="G19" s="794">
        <f>SUBTOTAL(9,G9:G18)</f>
        <v>6402</v>
      </c>
      <c r="H19" s="795">
        <f>IF(ISNUMBER(G19/B19),G19/B19," - ")</f>
        <v>640.20000000000005</v>
      </c>
      <c r="I19" s="794">
        <f>SUBTOTAL(9,I9:I18)</f>
        <v>18103</v>
      </c>
      <c r="J19" s="795">
        <f>IF(ISNUMBER(I19/B19),I19/B19," - ")</f>
        <v>1810.3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14VkqjeRLKIbQbK7rmZdFHAIKSYgI/MPw3v3T+hl/1Y5j8JhQ+s9us8WOps96TRunynAyfuuEwLVk+kfP6tzg==" saltValue="pm3MqTWfBzMsMKqIHVks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ORIHUELA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191</v>
      </c>
      <c r="G10" s="684">
        <f>IF(ISNUMBER(Datos!I10),Datos!I10," - ")</f>
        <v>195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v>
      </c>
      <c r="AC10" s="683" t="str">
        <f>IF(ISNUMBER(IF(D_I="SI",DatosP!K17,DatosP!K17+DatosP!AE17)),IF(D_I="SI",DatosP!K17,DatosP!K17+DatosP!AE17)," - ")</f>
        <v xml:space="preserve"> - </v>
      </c>
      <c r="AD10" s="685"/>
      <c r="AE10" s="685"/>
      <c r="AF10" s="688">
        <f>IF(ISNUMBER(Datos!L10),Datos!L10,"-")</f>
        <v>196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191</v>
      </c>
      <c r="G13" s="938">
        <f t="shared" si="0"/>
        <v>195</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v>
      </c>
      <c r="AC13" s="939">
        <f t="shared" si="1"/>
        <v>0</v>
      </c>
      <c r="AD13" s="939">
        <f t="shared" si="1"/>
        <v>0</v>
      </c>
      <c r="AE13" s="939">
        <f t="shared" si="1"/>
        <v>0</v>
      </c>
      <c r="AF13" s="939">
        <f t="shared" si="1"/>
        <v>196</v>
      </c>
      <c r="AG13" s="939">
        <f t="shared" si="1"/>
        <v>0</v>
      </c>
      <c r="AH13" s="939">
        <f t="shared" si="1"/>
        <v>0</v>
      </c>
      <c r="AI13" s="939">
        <f t="shared" si="1"/>
        <v>0</v>
      </c>
      <c r="AJ13" s="939">
        <f t="shared" si="1"/>
        <v>0</v>
      </c>
      <c r="AK13" s="939">
        <f t="shared" si="1"/>
        <v>0</v>
      </c>
      <c r="AL13" s="939">
        <f t="shared" si="1"/>
        <v>26</v>
      </c>
      <c r="AM13" s="939">
        <f t="shared" si="1"/>
        <v>21</v>
      </c>
      <c r="AN13" s="939">
        <f t="shared" si="1"/>
        <v>0</v>
      </c>
      <c r="AO13" s="939">
        <f t="shared" si="1"/>
        <v>0</v>
      </c>
      <c r="AP13" s="944">
        <f>IF(ISNUMBER(((Datos!L13/Datos!K13)*11)/factor_trimestre),((Datos!L13/Datos!K13)*11)/factor_trimestre," - ")</f>
        <v>12.020253164556962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-0.25654450261780104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4.0936073059360734</v>
      </c>
      <c r="AQ18" s="944">
        <f>IF(ISNUMBER(((Datos!M18/Datos!L18)*11)/factor_trimestre),((Datos!M18/Datos!L18)*11)/factor_trimestre," - ")</f>
        <v>0.4450641383156721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7.4999999999999997E-2</v>
      </c>
      <c r="AW18" s="946">
        <f>IF(ISNUMBER((Datos!Q18-Datos!R18)/(Datos!S18-Datos!Q18+Datos!R18)),(Datos!Q18-Datos!R18)/(Datos!S18-Datos!Q18+Datos!R18)," - ")</f>
        <v>-5.9376679204728638E-2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191</v>
      </c>
      <c r="G19" s="951">
        <f t="shared" si="4"/>
        <v>195</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v>
      </c>
      <c r="AC19" s="957">
        <f t="shared" si="5"/>
        <v>0</v>
      </c>
      <c r="AD19" s="957">
        <f t="shared" si="5"/>
        <v>0</v>
      </c>
      <c r="AE19" s="957">
        <f t="shared" si="5"/>
        <v>0</v>
      </c>
      <c r="AF19" s="958">
        <f t="shared" si="5"/>
        <v>196</v>
      </c>
      <c r="AG19" s="958">
        <f t="shared" si="5"/>
        <v>0</v>
      </c>
      <c r="AH19" s="958">
        <f t="shared" si="5"/>
        <v>0</v>
      </c>
      <c r="AI19" s="958">
        <f t="shared" si="5"/>
        <v>0</v>
      </c>
      <c r="AJ19" s="959">
        <f t="shared" si="5"/>
        <v>0</v>
      </c>
      <c r="AK19" s="959">
        <f t="shared" si="5"/>
        <v>0</v>
      </c>
      <c r="AL19" s="951">
        <f t="shared" si="5"/>
        <v>26</v>
      </c>
      <c r="AM19" s="951">
        <f t="shared" si="5"/>
        <v>21</v>
      </c>
      <c r="AN19" s="951">
        <f t="shared" si="5"/>
        <v>0</v>
      </c>
      <c r="AO19" s="951">
        <f t="shared" si="5"/>
        <v>0</v>
      </c>
      <c r="AP19" s="951">
        <f>IF(ISNUMBER(((Datos!L19/Datos!K19)*11)/factor_trimestre),((Datos!L19/Datos!K19)*11)/factor_trimestre," - ")</f>
        <v>8.6511402231926251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-0.25654450261780104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2.7285995304270577E-3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110.27390141521852</v>
      </c>
      <c r="G21" s="737">
        <f>IF(ISNUMBER(STDEV(G8:G18)),STDEV(G8:G18),"-")</f>
        <v>112.58330249197702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28.290163190291661</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4.5706157534008023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JxxTKtI/eCE53qYMedT2fdGMsGX8z0fn86fyrDOvrsIcUbfx5/rpJw6SOs2EyCv4bdLL5srn+53iAUaSu7a6Q==" saltValue="wx4p841BVv+5A9ApzyUuQ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ORIHUELA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O87OPLDO5xekJb46KyI4kcDLHfhfInGIfBnU/alhO7i5bkahH+lzSGuZG2NMWtlEiqgUnYVftd2uZQulzt/Ig==" saltValue="j/cXaumymGMNjZ6fPar/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ORIHUELA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776</v>
      </c>
      <c r="E9" s="404">
        <f t="shared" ref="E9:E13" si="0">IF(ISNUMBER(D9/B9),D9/B9," - ")</f>
        <v>129.33333333333334</v>
      </c>
      <c r="F9" s="403">
        <f>IF(ISNUMBER(Datos!N9),Datos!N9," - ")</f>
        <v>1437</v>
      </c>
      <c r="G9" s="404">
        <f t="shared" ref="G9:G13" si="1">IF(ISNUMBER(F9/B9),F9/B9," - ")</f>
        <v>239.5</v>
      </c>
      <c r="H9" s="403">
        <f>IF(ISNUMBER(Datos!O9),Datos!O9," - ")</f>
        <v>1932</v>
      </c>
      <c r="I9" s="404">
        <f>IF(ISNUMBER(H9/B9),H9/B9," - ")</f>
        <v>322</v>
      </c>
      <c r="BZ9" s="1186">
        <f>Datos!EZ9</f>
        <v>0</v>
      </c>
    </row>
    <row r="10" spans="1:78">
      <c r="A10" s="402" t="str">
        <f>Datos!A10</f>
        <v>Jdos. Violencia contra la mujer</v>
      </c>
      <c r="B10" s="427">
        <f>Datos!AO10</f>
        <v>1</v>
      </c>
      <c r="C10" s="410">
        <f>Datos!AQ10</f>
        <v>1</v>
      </c>
      <c r="D10" s="403">
        <f>IF(ISNUMBER(Datos!M10),Datos!M10," - ")</f>
        <v>26</v>
      </c>
      <c r="E10" s="404">
        <f>IF(ISNUMBER(D10/B10),D10/B10," - ")</f>
        <v>26</v>
      </c>
      <c r="F10" s="403">
        <f>IF(ISNUMBER(Datos!N10),Datos!N10," - ")</f>
        <v>21</v>
      </c>
      <c r="G10" s="404">
        <f>IF(ISNUMBER(F10/B10),F10/B10," - ")</f>
        <v>21</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802</v>
      </c>
      <c r="E13" s="850">
        <f t="shared" si="0"/>
        <v>114.57142857142857</v>
      </c>
      <c r="F13" s="849">
        <f>SUBTOTAL(9,F9:F12)</f>
        <v>1458</v>
      </c>
      <c r="G13" s="850">
        <f t="shared" si="1"/>
        <v>208.28571428571428</v>
      </c>
      <c r="H13" s="849">
        <f>SUBTOTAL(9,H9:H12)</f>
        <v>1942</v>
      </c>
      <c r="I13" s="850">
        <f>IF(ISNUMBER(H13/B13),H13/B13," - ")</f>
        <v>277.42857142857144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485</v>
      </c>
      <c r="E15" s="404">
        <f t="shared" ref="E15:E18" si="3">IF(ISNUMBER(D15/B15),D15/B15," - ")</f>
        <v>161.66666666666666</v>
      </c>
      <c r="F15" s="403">
        <f>IF(ISNUMBER(Datos!N15),Datos!N15," - ")</f>
        <v>1300</v>
      </c>
      <c r="G15" s="404">
        <f t="shared" ref="G15:G18" si="4">IF(ISNUMBER(F15/B15),F15/B15," - ")</f>
        <v>433.33333333333331</v>
      </c>
      <c r="H15" s="403">
        <f>IF(ISNUMBER(Datos!O15),Datos!O15," - ")</f>
        <v>5</v>
      </c>
      <c r="I15" s="404">
        <f t="shared" ref="I15:I17" si="5">IF(ISNUMBER(H15/B15),H15/B15," - ")</f>
        <v>1.6666666666666667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47</v>
      </c>
      <c r="E17" s="404">
        <f>IF(ISNUMBER(D17/B17),D17/B17," - ")</f>
        <v>47</v>
      </c>
      <c r="F17" s="403">
        <f>IF(ISNUMBER(Datos!N17),Datos!N17," - ")</f>
        <v>323</v>
      </c>
      <c r="G17" s="404">
        <f>IF(ISNUMBER(F17/B17),F17/B17," - ")</f>
        <v>323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532</v>
      </c>
      <c r="E18" s="850">
        <f t="shared" si="3"/>
        <v>133</v>
      </c>
      <c r="F18" s="849">
        <f>SUBTOTAL(9,F15:F17)</f>
        <v>1623</v>
      </c>
      <c r="G18" s="850">
        <f t="shared" si="4"/>
        <v>405.75</v>
      </c>
      <c r="H18" s="849">
        <f>SUBTOTAL(9,H15:H17)</f>
        <v>5</v>
      </c>
      <c r="I18" s="850">
        <f>IF(ISNUMBER(H18/B18),H18/B18," - ")</f>
        <v>1.25</v>
      </c>
      <c r="BZ18" s="1186"/>
    </row>
    <row r="19" spans="1:78" ht="14.25" thickTop="1" thickBot="1">
      <c r="A19" s="793" t="str">
        <f>Datos!A19</f>
        <v>TOTAL JURISDICCIONES</v>
      </c>
      <c r="B19" s="794">
        <f>Datos!AP19</f>
        <v>10</v>
      </c>
      <c r="C19" s="794">
        <f>Datos!AR19</f>
        <v>10</v>
      </c>
      <c r="D19" s="794">
        <f>SUBTOTAL(9,D8:D18)</f>
        <v>1334</v>
      </c>
      <c r="E19" s="795">
        <f>IF(ISNUMBER(D19/B19),D19/B19," - ")</f>
        <v>133.4</v>
      </c>
      <c r="F19" s="794">
        <f>SUBTOTAL(9,F8:F18)</f>
        <v>3081</v>
      </c>
      <c r="G19" s="795">
        <f>IF(ISNUMBER(F19/B19),F19/B19," - ")</f>
        <v>308.10000000000002</v>
      </c>
      <c r="H19" s="794">
        <f>SUBTOTAL(9,H8:H18)</f>
        <v>1947</v>
      </c>
      <c r="I19" s="795">
        <f>IF(ISNUMBER(H19/B19),H19/B19," - ")</f>
        <v>194.7</v>
      </c>
    </row>
    <row r="22" spans="1:78">
      <c r="A22" s="391" t="str">
        <f>Criterios!A4</f>
        <v>Fecha Informe: 03 jun. 2025</v>
      </c>
    </row>
    <row r="27" spans="1:78">
      <c r="A27" s="414"/>
    </row>
  </sheetData>
  <sheetProtection algorithmName="SHA-512" hashValue="ffynKYg421yce8Jb5mqx0aLzhibUhLIx2G+2eEsosuLiCXDA53FFVw7bYiukRiJoO3hdZ1SBKAjxItEzkVsvCA==" saltValue="Z7OgjkZz3Awic6Br97NK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ORIHUELA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748</v>
      </c>
      <c r="C9" s="434">
        <f>IF(ISNUMBER(Datos!Q9),Datos!Q9," - ")</f>
        <v>730</v>
      </c>
      <c r="D9" s="408">
        <f>IF(ISNUMBER(Datos!R9),Datos!R9," - ")</f>
        <v>15330</v>
      </c>
    </row>
    <row r="10" spans="1:4">
      <c r="A10" s="402" t="str">
        <f>Datos!A10</f>
        <v>Jdos. Violencia contra la mujer</v>
      </c>
      <c r="B10" s="433">
        <f>IF(ISNUMBER(Datos!P10),Datos!P10," - ")</f>
        <v>10</v>
      </c>
      <c r="C10" s="434">
        <f>IF(ISNUMBER(Datos!Q10),Datos!Q10," - ")</f>
        <v>6</v>
      </c>
      <c r="D10" s="408">
        <f>IF(ISNUMBER(Datos!R10),Datos!R10," - ")</f>
        <v>171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758</v>
      </c>
      <c r="C13" s="853">
        <f>SUBTOTAL(9,C9:C12)</f>
        <v>736</v>
      </c>
      <c r="D13" s="851">
        <f>SUBTOTAL(9,D9:D12)</f>
        <v>15501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68</v>
      </c>
      <c r="D15" s="408">
        <f>IF(ISNUMBER(Datos!R15),Datos!R15," - ")</f>
        <v>285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16</v>
      </c>
      <c r="C17" s="434">
        <f>IF(ISNUMBER(Datos!Q17),Datos!Q17," - ")</f>
        <v>12</v>
      </c>
      <c r="D17" s="408">
        <f>IF(ISNUMBER(Datos!R17),Datos!R17," - ")</f>
        <v>16</v>
      </c>
    </row>
    <row r="18" spans="1:4" ht="14.25" thickTop="1" thickBot="1">
      <c r="A18" s="848" t="str">
        <f>Datos!A18</f>
        <v>TOTAL</v>
      </c>
      <c r="B18" s="849">
        <f>SUBTOTAL(9,B15:B17)</f>
        <v>101</v>
      </c>
      <c r="C18" s="853">
        <f>SUBTOTAL(9,C15:C17)</f>
        <v>80</v>
      </c>
      <c r="D18" s="851">
        <f>SUBTOTAL(9,D15:D17)</f>
        <v>301</v>
      </c>
    </row>
    <row r="19" spans="1:4" ht="16.5" customHeight="1" thickTop="1" thickBot="1">
      <c r="A19" s="793" t="str">
        <f>Datos!A19</f>
        <v>TOTAL JURISDICCIONES</v>
      </c>
      <c r="B19" s="798">
        <f>SUBTOTAL(9,B8:B18)</f>
        <v>859</v>
      </c>
      <c r="C19" s="799">
        <f>SUBTOTAL(9,C8:C18)</f>
        <v>816</v>
      </c>
      <c r="D19" s="800">
        <f>SUBTOTAL(9,D8:D18)</f>
        <v>15802</v>
      </c>
    </row>
    <row r="20" spans="1:4" ht="7.5" customHeight="1"/>
    <row r="21" spans="1:4" ht="6" customHeight="1"/>
    <row r="22" spans="1:4">
      <c r="A22" s="391" t="str">
        <f>Criterios!A4</f>
        <v>Fecha Informe: 03 jun. 2025</v>
      </c>
    </row>
    <row r="27" spans="1:4">
      <c r="A27" s="414"/>
    </row>
  </sheetData>
  <sheetProtection algorithmName="SHA-512" hashValue="TvEaAJIfHQkyk101yEerzFMBf6vEYJUBCs/W5yq0HM6Oi/BUnvS+gLATyseE3zvvOZhKVs9ZNAL7J1sx9722eg==" saltValue="iMphtTT5XBrKH93L0vL1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ORIHUELA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0.22784931770132616</v>
      </c>
      <c r="C9" s="456">
        <f>IF(ISNUMBER(
   IF(J_V="SI",(Datos!J9-Datos!T9)/Datos!T9,(Datos!J9+Datos!Z9-(Datos!T9+Datos!AH9))/(Datos!T9+Datos!AH9))
     ),IF(J_V="SI",(Datos!J9-Datos!T9)/Datos!T9,(Datos!J9+Datos!Z9-(Datos!T9+Datos!AH9))/(Datos!T9+Datos!AH9))," - ")</f>
        <v>0.69148264984227126</v>
      </c>
      <c r="D9" s="456">
        <f>IF(ISNUMBER(
   IF(J_V="SI",(Datos!K9-Datos!U9)/Datos!U9,(Datos!K9+Datos!AA9-(Datos!U9+Datos!AI9))/(Datos!U9+Datos!AI9))
     ),IF(J_V="SI",(Datos!K9-Datos!U9)/Datos!U9,(Datos!K9+Datos!AA9-(Datos!U9+Datos!AI9))/(Datos!U9+Datos!AI9))," - ")</f>
        <v>0.3725128960943257</v>
      </c>
      <c r="E9" s="456">
        <f>IF(ISNUMBER(
   IF(J_V="SI",(Datos!L9-Datos!V9)/Datos!V9,(Datos!L9+Datos!AB9-(Datos!V9+Datos!AJ9))/(Datos!V9+Datos!AJ9))
     ),IF(J_V="SI",(Datos!L9-Datos!V9)/Datos!V9,(Datos!L9+Datos!AB9-(Datos!V9+Datos!AJ9))/(Datos!V9+Datos!AJ9))," - ")</f>
        <v>0.31421492153803798</v>
      </c>
      <c r="F9" s="456">
        <f>IF(ISNUMBER((Datos!M9-Datos!W9)/Datos!W9),(Datos!M9-Datos!W9)/Datos!W9," - ")</f>
        <v>0.4894433781190019</v>
      </c>
      <c r="G9" s="457">
        <f>IF(ISNUMBER((Datos!N9-Datos!X9)/Datos!X9),(Datos!N9-Datos!X9)/Datos!X9," - ")</f>
        <v>0.32077205882352944</v>
      </c>
      <c r="H9" s="455">
        <f>IF(ISNUMBER(((NºAsuntos!G9/NºAsuntos!E9)-Datos!BD9)/Datos!BD9),((NºAsuntos!G9/NºAsuntos!E9)-Datos!BD9)/Datos!BD9," - ")</f>
        <v>-0.18857406180175076</v>
      </c>
      <c r="I9" s="456">
        <f>IF(ISNUMBER(((NºAsuntos!I9/NºAsuntos!G9)-Datos!BE9)/Datos!BE9),((NºAsuntos!I9/NºAsuntos!G9)-Datos!BE9)/Datos!BE9," - ")</f>
        <v>-4.2475356495507301E-2</v>
      </c>
      <c r="J9" s="461">
        <f>IF(ISNUMBER((('Resol  Asuntos'!D9/NºAsuntos!G9)-Datos!BF9)/Datos!BF9),(('Resol  Asuntos'!D9/NºAsuntos!G9)-Datos!BF9)/Datos!BF9," - ")</f>
        <v>-0.48034346624555868</v>
      </c>
      <c r="K9" s="462">
        <f>IF(ISNUMBER((((NºAsuntos!C9+NºAsuntos!E9)/NºAsuntos!G9)-Datos!BG9)/Datos!BG9),(((NºAsuntos!C9+NºAsuntos!E9)/NºAsuntos!G9)-Datos!BG9)/Datos!BG9," - ")</f>
        <v>-2.6524383732840811E-2</v>
      </c>
    </row>
    <row r="10" spans="1:11">
      <c r="A10" s="402" t="str">
        <f>Datos!A10</f>
        <v>Jdos. Violencia contra la mujer</v>
      </c>
      <c r="B10" s="455">
        <f>IF(ISNUMBER((Datos!I10-Datos!S10)/Datos!S10),(Datos!I10-Datos!S10)/Datos!S10," - ")</f>
        <v>-0.10138248847926268</v>
      </c>
      <c r="C10" s="456">
        <f>IF(ISNUMBER((Datos!J10-Datos!T10)/Datos!T10),(Datos!J10-Datos!T10)/Datos!T10," - ")</f>
        <v>-0.14285714285714285</v>
      </c>
      <c r="D10" s="456">
        <f>IF(ISNUMBER((Datos!K10-Datos!U10)/Datos!U10),(Datos!K10-Datos!U10)/Datos!U10," - ")</f>
        <v>-0.24615384615384617</v>
      </c>
      <c r="E10" s="456">
        <f>IF(ISNUMBER((Datos!L10-Datos!V10)/Datos!V10),(Datos!L10-Datos!V10)/Datos!V10," - ")</f>
        <v>-8.8372093023255813E-2</v>
      </c>
      <c r="F10" s="456">
        <f>IF(ISNUMBER((Datos!M10-Datos!W10)/Datos!W10),(Datos!M10-Datos!W10)/Datos!W10," - ")</f>
        <v>-0.29729729729729731</v>
      </c>
      <c r="G10" s="457">
        <f>IF(ISNUMBER((Datos!N10-Datos!X10)/Datos!X10),(Datos!N10-Datos!X10)/Datos!X10," - ")</f>
        <v>0.3125</v>
      </c>
      <c r="H10" s="455">
        <f>IF(ISNUMBER(((NºAsuntos!G10/NºAsuntos!E10)-Datos!BD10)/Datos!BD10),((NºAsuntos!G10/NºAsuntos!E10)-Datos!BD10)/Datos!BD10," - ")</f>
        <v>-0.12051282051282057</v>
      </c>
      <c r="I10" s="456">
        <f>IF(ISNUMBER(((NºAsuntos!I10/NºAsuntos!G10)-Datos!BE10)/Datos!BE10),((NºAsuntos!I10/NºAsuntos!G10)-Datos!BE10)/Datos!BE10," - ")</f>
        <v>0.20930232558139542</v>
      </c>
      <c r="J10" s="461">
        <f>IF(ISNUMBER((('Resol  Asuntos'!D10/NºAsuntos!G10)-Datos!BF10)/Datos!BF10),(('Resol  Asuntos'!D10/NºAsuntos!G10)-Datos!BF10)/Datos!BF10," - ")</f>
        <v>-6.784335355763918E-2</v>
      </c>
      <c r="K10" s="462">
        <f>IF(ISNUMBER((((NºAsuntos!C10+NºAsuntos!E10)/NºAsuntos!G10)-Datos!BG10)/Datos!BG10),(((NºAsuntos!C10+NºAsuntos!E10)/NºAsuntos!G10)-Datos!BG10)/Datos!BG10," - ")</f>
        <v>0.17966472303207004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0.2211239762778876</v>
      </c>
      <c r="C13" s="855">
        <f>IF(ISNUMBER(
   IF(J_V="SI",(Datos!J13-Datos!T13)/Datos!T13,(Datos!J13+Datos!Z13-(Datos!T13+Datos!AH13))/(Datos!T13+Datos!AH13))
     ),IF(J_V="SI",(Datos!J13-Datos!T13)/Datos!T13,(Datos!J13+Datos!Z13-(Datos!T13+Datos!AH13))/(Datos!T13+Datos!AH13))," - ")</f>
        <v>0.67522424992267249</v>
      </c>
      <c r="D13" s="855">
        <f>IF(ISNUMBER(
   IF(J_V="SI",(Datos!K13-Datos!U13)/Datos!U13,(Datos!K13+Datos!AA13-(Datos!U13+Datos!AI13))/(Datos!U13+Datos!AI13))
     ),IF(J_V="SI",(Datos!K13-Datos!U13)/Datos!U13,(Datos!K13+Datos!AA13-(Datos!U13+Datos!AI13))/(Datos!U13+Datos!AI13))," - ")</f>
        <v>0.3580424613170205</v>
      </c>
      <c r="E13" s="855">
        <f>IF(ISNUMBER(
   IF(J_V="SI",(Datos!L13-Datos!V13)/Datos!V13,(Datos!L13+Datos!AB13-(Datos!V13+Datos!AJ13))/(Datos!V13+Datos!AJ13))
     ),IF(J_V="SI",(Datos!L13-Datos!V13)/Datos!V13,(Datos!L13+Datos!AB13-(Datos!V13+Datos!AJ13))/(Datos!V13+Datos!AJ13))," - ")</f>
        <v>0.30642548596112312</v>
      </c>
      <c r="F13" s="856">
        <f>IF(ISNUMBER((Datos!M13-Datos!W13)/Datos!W13),(Datos!M13-Datos!W13)/Datos!W13," - ")</f>
        <v>0.43727598566308246</v>
      </c>
      <c r="G13" s="857">
        <f>IF(ISNUMBER((Datos!N13-Datos!X13)/Datos!X13),(Datos!N13-Datos!X13)/Datos!X13," - ")</f>
        <v>0.32065217391304346</v>
      </c>
      <c r="H13" s="857">
        <f>IF(ISNUMBER(((NºAsuntos!G13/NºAsuntos!E13)-Datos!BD13)/Datos!BD13),((NºAsuntos!G13/NºAsuntos!E13)-Datos!BD13)/Datos!BD13," - ")</f>
        <v>-0.18933691332386865</v>
      </c>
      <c r="I13" s="857">
        <f>IF(ISNUMBER(((NºAsuntos!I13/NºAsuntos!G13)-Datos!BE13)/Datos!BE13),((NºAsuntos!I13/NºAsuntos!G13)-Datos!BE13)/Datos!BE13," - ")</f>
        <v>-3.8008366325924484E-2</v>
      </c>
      <c r="J13" s="857">
        <f>IF(ISNUMBER((('Resol  Asuntos'!D13/NºAsuntos!G13)-Datos!BF13)/Datos!BF13),(('Resol  Asuntos'!D13/NºAsuntos!G13)-Datos!BF13)/Datos!BF13," - ")</f>
        <v>-0.47506141435553195</v>
      </c>
      <c r="K13" s="857">
        <f>IF(ISNUMBER((((NºAsuntos!C13+NºAsuntos!E13)/NºAsuntos!G13)-Datos!BG13)/Datos!BG13),(((NºAsuntos!C13+NºAsuntos!E13)/NºAsuntos!G13)-Datos!BG13)/Datos!BG13," - ")</f>
        <v>-2.2800420648878689E-2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7.6603894031279929E-2</v>
      </c>
      <c r="C15" s="456">
        <f>IF(ISNUMBER(
   IF(D_I="SI",(Datos!J15-Datos!T15)/Datos!T15,(Datos!J15+Datos!AD15-(Datos!T15+Datos!AL15))/(Datos!T15+Datos!AL15))
     ),IF(D_I="SI",(Datos!J15-Datos!T15)/Datos!T15,(Datos!J15+Datos!AD15-(Datos!T15+Datos!AL15))/(Datos!T15+Datos!AL15))," - ")</f>
        <v>-3.3717834960070983E-2</v>
      </c>
      <c r="D15" s="456">
        <f>IF(ISNUMBER(
   IF(D_I="SI",(Datos!K15-Datos!U15)/Datos!U15,(Datos!K15+Datos!AE15-(Datos!U15+Datos!AM15))/(Datos!U15+Datos!AM15))
     ),IF(D_I="SI",(Datos!K15-Datos!U15)/Datos!U15,(Datos!K15+Datos!AE15-(Datos!U15+Datos!AM15))/(Datos!U15+Datos!AM15))," - ")</f>
        <v>-4.4180118946474084E-2</v>
      </c>
      <c r="E15" s="456">
        <f>IF(ISNUMBER(
   IF(D_I="SI",(Datos!L15-Datos!V15)/Datos!V15,(Datos!L15+Datos!AF15-(Datos!V15+Datos!AN15))/(Datos!V15+Datos!AN15))
     ),IF(D_I="SI",(Datos!L15-Datos!V15)/Datos!V15,(Datos!L15+Datos!AF15-(Datos!V15+Datos!AN15))/(Datos!V15+Datos!AN15))," - ")</f>
        <v>8.708414872798434E-2</v>
      </c>
      <c r="F15" s="456">
        <f>IF(ISNUMBER((Datos!M15-Datos!W15)/Datos!W15),(Datos!M15-Datos!W15)/Datos!W15," - ")</f>
        <v>-1.6227180527383367E-2</v>
      </c>
      <c r="G15" s="457">
        <f>IF(ISNUMBER((Datos!N15-Datos!X15)/Datos!X15),(Datos!N15-Datos!X15)/Datos!X15," - ")</f>
        <v>0.22873345935727787</v>
      </c>
      <c r="H15" s="455">
        <f>IF(ISNUMBER(((NºAsuntos!G15/NºAsuntos!E15)-Datos!BD15)/Datos!BD15),((NºAsuntos!G15/NºAsuntos!E15)-Datos!BD15)/Datos!BD15," - ")</f>
        <v>-1.0827359093366788E-2</v>
      </c>
      <c r="I15" s="456">
        <f>IF(ISNUMBER(((NºAsuntos!I15/NºAsuntos!G15)-Datos!BE15)/Datos!BE15),((NºAsuntos!I15/NºAsuntos!G15)-Datos!BE15)/Datos!BE15," - ")</f>
        <v>0.13733159382474461</v>
      </c>
      <c r="J15" s="461">
        <f>IF(ISNUMBER((('Resol  Asuntos'!D15/NºAsuntos!G15)-Datos!BF15)/Datos!BF15),(('Resol  Asuntos'!D15/NºAsuntos!G15)-Datos!BF15)/Datos!BF15," - ")</f>
        <v>2.924498535046206E-2</v>
      </c>
      <c r="K15" s="462">
        <f>IF(ISNUMBER((((NºAsuntos!C15+NºAsuntos!E15)/NºAsuntos!G15)-Datos!BG15)/Datos!BG15),(((NºAsuntos!C15+NºAsuntos!E15)/NºAsuntos!G15)-Datos!BG15)/Datos!BG15," - ")</f>
        <v>7.807305653528028E-2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-0.14130434782608695</v>
      </c>
      <c r="C17" s="456">
        <f>IF(ISNUMBER(
   IF(D_I="SI",(Datos!J17-Datos!T17)/Datos!T17,(Datos!J17+Datos!AD17-(Datos!T17+Datos!AL17))/(Datos!T17+Datos!AL17))
     ),IF(D_I="SI",(Datos!J17-Datos!T17)/Datos!T17,(Datos!J17+Datos!AD17-(Datos!T17+Datos!AL17))/(Datos!T17+Datos!AL17))," - ")</f>
        <v>-0.12011173184357542</v>
      </c>
      <c r="D17" s="456">
        <f>IF(ISNUMBER(
   IF(D_I="SI",(Datos!K17-Datos!U17)/Datos!U17,(Datos!K17+Datos!AE17-(Datos!U17+Datos!AM17))/(Datos!U17+Datos!AM17))
     ),IF(D_I="SI",(Datos!K17-Datos!U17)/Datos!U17,(Datos!K17+Datos!AE17-(Datos!U17+Datos!AM17))/(Datos!U17+Datos!AM17))," - ")</f>
        <v>-9.1346153846153841E-2</v>
      </c>
      <c r="E17" s="456">
        <f>IF(ISNUMBER(
   IF(D_I="SI",(Datos!L17-Datos!V17)/Datos!V17,(Datos!L17+Datos!AF17-(Datos!V17+Datos!AN17))/(Datos!V17+Datos!AN17))
     ),IF(D_I="SI",(Datos!L17-Datos!V17)/Datos!V17,(Datos!L17+Datos!AF17-(Datos!V17+Datos!AN17))/(Datos!V17+Datos!AN17))," - ")</f>
        <v>-0.18387096774193548</v>
      </c>
      <c r="F17" s="456">
        <f>IF(ISNUMBER((Datos!M17-Datos!W17)/Datos!W17),(Datos!M17-Datos!W17)/Datos!W17," - ")</f>
        <v>-0.18965517241379309</v>
      </c>
      <c r="G17" s="457">
        <f>IF(ISNUMBER((Datos!N17-Datos!X17)/Datos!X17),(Datos!N17-Datos!X17)/Datos!X17," - ")</f>
        <v>0.12543554006968641</v>
      </c>
      <c r="H17" s="455">
        <f>IF(ISNUMBER(((NºAsuntos!G17/NºAsuntos!E17)-Datos!BD17)/Datos!BD17),((NºAsuntos!G17/NºAsuntos!E17)-Datos!BD17)/Datos!BD17," - ")</f>
        <v>3.2692307692307562E-2</v>
      </c>
      <c r="I17" s="456">
        <f>IF(ISNUMBER(((NºAsuntos!I17/NºAsuntos!G17)-Datos!BE17)/Datos!BE17),((NºAsuntos!I17/NºAsuntos!G17)-Datos!BE17)/Datos!BE17," - ")</f>
        <v>-0.10182625021334703</v>
      </c>
      <c r="J17" s="461">
        <f>IF(ISNUMBER((('Resol  Asuntos'!D17/NºAsuntos!G17)-Datos!BF17)/Datos!BF17),(('Resol  Asuntos'!D17/NºAsuntos!G17)-Datos!BF17)/Datos!BF17," - ")</f>
        <v>-0.10819193577814275</v>
      </c>
      <c r="K17" s="462">
        <f>IF(ISNUMBER((((NºAsuntos!C17+NºAsuntos!E17)/NºAsuntos!G17)-Datos!BG17)/Datos!BG17),(((NºAsuntos!C17+NºAsuntos!E17)/NºAsuntos!G17)-Datos!BG17)/Datos!BG17," - ")</f>
        <v>-4.3479528328013189E-2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5.3698943159097401E-2</v>
      </c>
      <c r="C18" s="855">
        <f>IF(ISNUMBER(
   IF(Criterios!B14="SI",(Datos!J18-Datos!T18)/Datos!T18,(Datos!J18+Datos!AD18-(Datos!T18+Datos!AL18))/(Datos!T18+Datos!AL18))
     ),IF(Criterios!B14="SI",(Datos!J18-Datos!T18)/Datos!T18,(Datos!J18+Datos!AD18-(Datos!T18+Datos!AL18))/(Datos!T18+Datos!AL18))," - ")</f>
        <v>-4.5558958652373659E-2</v>
      </c>
      <c r="D18" s="855">
        <f>IF(ISNUMBER(
   IF(Criterios!B14="SI",(Datos!K18-Datos!U18)/Datos!U18,(Datos!K18+Datos!AE18-(Datos!U18+Datos!AM18))/(Datos!U18+Datos!AM18))
     ),IF(Criterios!B14="SI",(Datos!K18-Datos!U18)/Datos!U18,(Datos!K18+Datos!AE18-(Datos!U18+Datos!AM18))/(Datos!U18+Datos!AM18))," - ")</f>
        <v>-5.1263537906137184E-2</v>
      </c>
      <c r="E18" s="855">
        <f>IF(ISNUMBER(
   IF(Criterios!B14="SI",(Datos!L18-Datos!V18)/Datos!V18,(Datos!L18+Datos!AF18-(Datos!V18+Datos!AN18))/(Datos!V18+Datos!AN18))
     ),IF(Criterios!B14="SI",(Datos!L18-Datos!V18)/Datos!V18,(Datos!L18+Datos!AF18-(Datos!V18+Datos!AN18))/(Datos!V18+Datos!AN18))," - ")</f>
        <v>6.220379146919431E-2</v>
      </c>
      <c r="F18" s="856">
        <f>IF(ISNUMBER((Datos!M18-Datos!W18)/Datos!W18),(Datos!M18-Datos!W18)/Datos!W18," - ")</f>
        <v>-3.4482758620689655E-2</v>
      </c>
      <c r="G18" s="857">
        <f>IF(ISNUMBER((Datos!N18-Datos!X18)/Datos!X18),(Datos!N18-Datos!X18)/Datos!X18," - ")</f>
        <v>0.2066914498141264</v>
      </c>
      <c r="H18" s="857">
        <f>IF(ISNUMBER(((NºAsuntos!G18/NºAsuntos!E18)-Datos!BD18)/Datos!BD18),((NºAsuntos!G18/NºAsuntos!E18)-Datos!BD18)/Datos!BD18," - ")</f>
        <v>-5.9768796674006738E-3</v>
      </c>
      <c r="I18" s="857">
        <f>IF(ISNUMBER(((NºAsuntos!I18/NºAsuntos!G18)-Datos!BE18)/Datos!BE18),((NºAsuntos!I18/NºAsuntos!G18)-Datos!BE18)/Datos!BE18," - ")</f>
        <v>0.11959836467643384</v>
      </c>
      <c r="J18" s="857">
        <f>IF(ISNUMBER((('Resol  Asuntos'!D18/NºAsuntos!G18)-Datos!BF18)/Datos!BF18),(('Resol  Asuntos'!D18/NºAsuntos!G18)-Datos!BF18)/Datos!BF18," - ")</f>
        <v>1.7687503280323275E-2</v>
      </c>
      <c r="K18" s="857">
        <f>IF(ISNUMBER((((NºAsuntos!C18+NºAsuntos!E18)/NºAsuntos!G18)-Datos!BG18)/Datos!BG18),(((NºAsuntos!C18+NºAsuntos!E18)/NºAsuntos!G18)-Datos!BG18)/Datos!BG18," - ")</f>
        <v>6.5930804451226968E-2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0.17962333616539225</v>
      </c>
      <c r="C19" s="802">
        <f>IF(ISNUMBER(
   IF(J_V="SI",(Datos!J19-Datos!T19)/Datos!T19,(Datos!J19+Datos!Z19-(Datos!T19+Datos!AH19))/(Datos!T19+Datos!AH19))
     ),IF(J_V="SI",(Datos!J19-Datos!T19)/Datos!T19,(Datos!J19+Datos!Z19-(Datos!T19+Datos!AH19))/(Datos!T19+Datos!AH19))," - ")</f>
        <v>0.35312232677502137</v>
      </c>
      <c r="D19" s="802">
        <f>IF(ISNUMBER(
   IF(J_V="SI",(Datos!K19-Datos!U19)/Datos!U19,(Datos!K19+Datos!AA19-(Datos!U19+Datos!AI19))/(Datos!U19+Datos!AI19))
     ),IF(J_V="SI",(Datos!K19-Datos!U19)/Datos!U19,(Datos!K19+Datos!AA19-(Datos!U19+Datos!AI19))/(Datos!U19+Datos!AI19))," - ")</f>
        <v>0.15372139124166517</v>
      </c>
      <c r="E19" s="802">
        <f>IF(ISNUMBER(
   IF(J_V="SI",(Datos!L19-Datos!V19)/Datos!V19,(Datos!L19+Datos!AB19-(Datos!V19+Datos!AJ19))/(Datos!V19+Datos!AJ19))
     ),IF(J_V="SI",(Datos!L19-Datos!V19)/Datos!V19,(Datos!L19+Datos!AB19-(Datos!V19+Datos!AJ19))/(Datos!V19+Datos!AJ19))," - ")</f>
        <v>0.24951684152401987</v>
      </c>
      <c r="F19" s="803">
        <f>IF(ISNUMBER((Datos!M19-Datos!W19)/Datos!W19),(Datos!M19-Datos!W19)/Datos!W19," - ")</f>
        <v>0.20288548241659152</v>
      </c>
      <c r="G19" s="804">
        <f>IF(ISNUMBER((Datos!N19-Datos!X19)/Datos!X19),(Datos!N19-Datos!X19)/Datos!X19," - ")</f>
        <v>0.25806451612903225</v>
      </c>
      <c r="H19" s="805">
        <f>IF(ISNUMBER((Tasas!B19-Datos!BD19)/Datos!BD19),(Tasas!B19-Datos!BD19)/Datos!BD19," - ")</f>
        <v>-0.14736356912283052</v>
      </c>
      <c r="I19" s="806">
        <f>IF(ISNUMBER((Tasas!C19-Datos!BE19)/Datos!BE19),(Tasas!C19-Datos!BE19)/Datos!BE19," - ")</f>
        <v>8.3031701595874058E-2</v>
      </c>
      <c r="J19" s="807">
        <f>IF(ISNUMBER((Tasas!D19-Datos!BF19)/Datos!BF19),(Tasas!D19-Datos!BF19)/Datos!BF19," - ")</f>
        <v>-0.31010837901938454</v>
      </c>
      <c r="K19" s="807">
        <f>IF(ISNUMBER((Tasas!E19-Datos!BG19)/Datos!BG19),(Tasas!E19-Datos!BG19)/Datos!BG19," - ")</f>
        <v>6.6468161545428284E-2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8TfoRJMZSaoxEX5TR2Et4SLE+/gF78wm2JHW8kVYOynLOGQpDDy1R8BKVWHSyonRL8v908PvEnHm39hJgXkFA==" saltValue="Q6Z+la48ZHRxZVxx/ykJ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ORIHUELA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0.69470346885490486</v>
      </c>
      <c r="C9" s="443">
        <f>IF(ISNUMBER(NºAsuntos!I9/NºAsuntos!G9),NºAsuntos!I9/NºAsuntos!G9," - ")</f>
        <v>3.8445637583892616</v>
      </c>
      <c r="D9" s="444">
        <f>IF(ISNUMBER('Resol  Asuntos'!D9/NºAsuntos!G9),'Resol  Asuntos'!D9/NºAsuntos!G9," - ")</f>
        <v>0.20832214765100671</v>
      </c>
      <c r="E9" s="445">
        <f>IF(ISNUMBER((NºAsuntos!C9+NºAsuntos!E9)/NºAsuntos!G9),(NºAsuntos!C9+NºAsuntos!E9)/NºAsuntos!G9," - ")</f>
        <v>4.8695302013422817</v>
      </c>
      <c r="G9" s="463"/>
    </row>
    <row r="10" spans="1:7">
      <c r="A10" s="402" t="str">
        <f>Datos!A10</f>
        <v>Jdos. Violencia contra la mujer</v>
      </c>
      <c r="B10" s="442">
        <f>IF(ISNUMBER(NºAsuntos!G10/NºAsuntos!E10),NºAsuntos!G10/NºAsuntos!E10," - ")</f>
        <v>0.90740740740740744</v>
      </c>
      <c r="C10" s="443">
        <f>IF(ISNUMBER(NºAsuntos!I10/NºAsuntos!G10),NºAsuntos!I10/NºAsuntos!G10," - ")</f>
        <v>4</v>
      </c>
      <c r="D10" s="444">
        <f>IF(ISNUMBER('Resol  Asuntos'!D10/NºAsuntos!G10),'Resol  Asuntos'!D10/NºAsuntos!G10," - ")</f>
        <v>0.53061224489795922</v>
      </c>
      <c r="E10" s="445">
        <f>IF(ISNUMBER((NºAsuntos!C10+NºAsuntos!E10)/NºAsuntos!G10),(NºAsuntos!C10+NºAsuntos!E10)/NºAsuntos!G10," - ")</f>
        <v>5.0816326530612246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0.69682422451994097</v>
      </c>
      <c r="C13" s="859">
        <f>IF(ISNUMBER(NºAsuntos!I13/NºAsuntos!G13),NºAsuntos!I13/NºAsuntos!G13," - ")</f>
        <v>3.8465818759936408</v>
      </c>
      <c r="D13" s="860">
        <f>IF(ISNUMBER('Resol  Asuntos'!D13/NºAsuntos!G13),'Resol  Asuntos'!D13/NºAsuntos!G13," - ")</f>
        <v>0.21250662427133016</v>
      </c>
      <c r="E13" s="861">
        <f>IF(ISNUMBER((NºAsuntos!C13+NºAsuntos!E13)/NºAsuntos!G13),(NºAsuntos!C13+NºAsuntos!E13)/NºAsuntos!G13," - ")</f>
        <v>4.8722840487546373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1.0330578512396693</v>
      </c>
      <c r="C15" s="443">
        <f>IF(ISNUMBER(NºAsuntos!I15/NºAsuntos!G15),NºAsuntos!I15/NºAsuntos!G15," - ")</f>
        <v>1.4813333333333334</v>
      </c>
      <c r="D15" s="444">
        <f>IF(ISNUMBER('Resol  Asuntos'!D15/NºAsuntos!G15),'Resol  Asuntos'!D15/NºAsuntos!G15," - ")</f>
        <v>0.21555555555555556</v>
      </c>
      <c r="E15" s="445">
        <f>IF(ISNUMBER((NºAsuntos!C15+NºAsuntos!E15)/NºAsuntos!G15),(NºAsuntos!C15+NºAsuntos!E15)/NºAsuntos!G15," - ")</f>
        <v>2.467111111111111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v>
      </c>
      <c r="C17" s="443">
        <f>IF(ISNUMBER(NºAsuntos!I17/NºAsuntos!G17),NºAsuntos!I17/NºAsuntos!G17," - ")</f>
        <v>0.6693121693121693</v>
      </c>
      <c r="D17" s="444">
        <f>IF(ISNUMBER('Resol  Asuntos'!D17/NºAsuntos!G17),'Resol  Asuntos'!D17/NºAsuntos!G17," - ")</f>
        <v>0.12433862433862433</v>
      </c>
      <c r="E17" s="445">
        <f>IF(ISNUMBER((NºAsuntos!C17+NºAsuntos!E17)/NºAsuntos!G17),(NºAsuntos!C17+NºAsuntos!E17)/NºAsuntos!G17," - ")</f>
        <v>1.6693121693121693</v>
      </c>
      <c r="G17" s="463"/>
    </row>
    <row r="18" spans="1:7" ht="14.25" thickTop="1" thickBot="1">
      <c r="A18" s="848" t="str">
        <f>Datos!A18</f>
        <v>TOTAL</v>
      </c>
      <c r="B18" s="858">
        <f>IF(ISNUMBER(NºAsuntos!G18/NºAsuntos!E18),NºAsuntos!G18/NºAsuntos!E18," - ")</f>
        <v>1.0541516245487366</v>
      </c>
      <c r="C18" s="859">
        <f>IF(ISNUMBER(NºAsuntos!I18/NºAsuntos!G18),NºAsuntos!I18/NºAsuntos!G18," - ")</f>
        <v>1.3645357686453576</v>
      </c>
      <c r="D18" s="862">
        <f>IF(ISNUMBER('Resol  Asuntos'!D18/NºAsuntos!G18),'Resol  Asuntos'!D18/NºAsuntos!G18," - ")</f>
        <v>0.20243531202435311</v>
      </c>
      <c r="E18" s="861">
        <f>IF(ISNUMBER((NºAsuntos!C18+NºAsuntos!E18)/NºAsuntos!G18),(NºAsuntos!C18+NºAsuntos!E18)/NºAsuntos!G18," - ")</f>
        <v>2.352359208523592</v>
      </c>
      <c r="G18" s="463"/>
    </row>
    <row r="19" spans="1:7" ht="15.75" customHeight="1" thickTop="1" thickBot="1">
      <c r="A19" s="793" t="str">
        <f>Datos!A19</f>
        <v>TOTAL JURISDICCIONES</v>
      </c>
      <c r="B19" s="808">
        <f>IF(ISNUMBER(NºAsuntos!G19/NºAsuntos!E19),NºAsuntos!G19/NºAsuntos!E19," - ")</f>
        <v>0.80945757997218359</v>
      </c>
      <c r="C19" s="809">
        <f>IF(ISNUMBER(NºAsuntos!I19/NºAsuntos!G19),NºAsuntos!I19/NºAsuntos!G19," - ")</f>
        <v>2.8277100905966885</v>
      </c>
      <c r="D19" s="810">
        <f>IF(ISNUMBER('Resol  Asuntos'!D19/NºAsuntos!G19),'Resol  Asuntos'!D19/NºAsuntos!G19," - ")</f>
        <v>0.20837238363011559</v>
      </c>
      <c r="E19" s="811">
        <f>IF(ISNUMBER((NºAsuntos!C19+NºAsuntos!E19)/NºAsuntos!G19),(NºAsuntos!C19+NºAsuntos!E19)/NºAsuntos!G19," - ")</f>
        <v>3.8378631677600752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MbNhNekHgoHwphUbe62IzASQNnq7AZbzGfrg5zWaY41qcv3IdjsBZSkzldVcekU2knrIxcazwbvwTWQjznVmA==" saltValue="1vULfxp5k1MzIWyIXwUw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ORIHUELA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730</v>
      </c>
      <c r="Y9" s="334">
        <f>SUM(W9:X9)</f>
        <v>730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15330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776</v>
      </c>
      <c r="AJ9" s="229" t="str">
        <f>IF(ISNUMBER(Datos!BW9),Datos!BW9," - ")</f>
        <v xml:space="preserve"> - </v>
      </c>
      <c r="AK9" s="228" t="str">
        <f>IF(ISNUMBER(Datos!BX9),Datos!BX9," - ")</f>
        <v xml:space="preserve"> - </v>
      </c>
      <c r="AL9" s="243">
        <f>IF(ISNUMBER(NºAsuntos!G9/NºAsuntos!E9),NºAsuntos!G9/NºAsuntos!E9," - ")</f>
        <v>0.69470346885490486</v>
      </c>
      <c r="AM9" s="260">
        <f>IF(ISNUMBER(((NºAsuntos!I9/NºAsuntos!G9)*11)/factor_trimestre),((NºAsuntos!I9/NºAsuntos!G9)*11)/factor_trimestre," - ")</f>
        <v>11.533691275167785</v>
      </c>
      <c r="AN9" s="244">
        <f>IF(ISNUMBER('Resol  Asuntos'!D9/NºAsuntos!G9),'Resol  Asuntos'!D9/NºAsuntos!G9," - ")</f>
        <v>0.20832214765100671</v>
      </c>
      <c r="AO9" s="245">
        <f>IF(ISNUMBER((NºAsuntos!C9+NºAsuntos!E9)/NºAsuntos!G9),(NºAsuntos!C9+NºAsuntos!E9)/NºAsuntos!G9," - ")</f>
        <v>4.8695302013422817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191</v>
      </c>
      <c r="G10" s="333">
        <f>IF(ISNUMBER(Datos!I10),Datos!I10," - ")</f>
        <v>195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v>
      </c>
      <c r="X10" s="226">
        <f>IF(ISNUMBER(Datos!Q10),Datos!Q10," - ")</f>
        <v>6</v>
      </c>
      <c r="Y10" s="334">
        <f t="shared" ref="Y10:Y12" si="0">SUM(W10:X10)</f>
        <v>55</v>
      </c>
      <c r="Z10" s="335" t="str">
        <f>IF(ISNUMBER(Datos!CC10),Datos!CC10," - ")</f>
        <v xml:space="preserve"> - </v>
      </c>
      <c r="AA10" s="332">
        <f>IF(ISNUMBER(Datos!L10),Datos!L10,"-")</f>
        <v>196</v>
      </c>
      <c r="AB10" s="334">
        <f>IF(ISNUMBER(Datos!R10),Datos!R10," - ")</f>
        <v>171</v>
      </c>
      <c r="AC10" s="334">
        <f t="shared" ref="AC10:AC12" si="1">IF(ISNUMBER(AA10+AB10),AA10+AB10," - ")</f>
        <v>367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0.90740740740740744</v>
      </c>
      <c r="AM10" s="260">
        <f>IF(ISNUMBER(((NºAsuntos!I10/NºAsuntos!G10)*11)/factor_trimestre),((NºAsuntos!I10/NºAsuntos!G10)*11)/factor_trimestre," - ")</f>
        <v>12</v>
      </c>
      <c r="AN10" s="244">
        <f>IF(ISNUMBER('Resol  Asuntos'!D10/NºAsuntos!G10),'Resol  Asuntos'!D10/NºAsuntos!G10," - ")</f>
        <v>0.53061224489795922</v>
      </c>
      <c r="AO10" s="245">
        <f>IF(ISNUMBER((NºAsuntos!C10+NºAsuntos!E10)/NºAsuntos!G10),(NºAsuntos!C10+NºAsuntos!E10)/NºAsuntos!G10," - ")</f>
        <v>5.0816326530612246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191</v>
      </c>
      <c r="G13" s="866">
        <f t="shared" si="3"/>
        <v>195</v>
      </c>
      <c r="H13" s="865">
        <f t="shared" si="3"/>
        <v>0</v>
      </c>
      <c r="I13" s="867">
        <f t="shared" si="3"/>
        <v>0</v>
      </c>
      <c r="J13" s="867">
        <f t="shared" si="3"/>
        <v>0</v>
      </c>
      <c r="K13" s="867">
        <f t="shared" si="3"/>
        <v>0</v>
      </c>
      <c r="L13" s="867">
        <f t="shared" si="3"/>
        <v>758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v>
      </c>
      <c r="X13" s="867">
        <f t="shared" si="4"/>
        <v>736</v>
      </c>
      <c r="Y13" s="868">
        <f t="shared" si="4"/>
        <v>785</v>
      </c>
      <c r="Z13" s="868">
        <f t="shared" si="4"/>
        <v>0</v>
      </c>
      <c r="AA13" s="868">
        <f t="shared" si="4"/>
        <v>196</v>
      </c>
      <c r="AB13" s="868">
        <f t="shared" si="4"/>
        <v>15501</v>
      </c>
      <c r="AC13" s="868">
        <f t="shared" si="4"/>
        <v>367</v>
      </c>
      <c r="AD13" s="868">
        <f t="shared" si="4"/>
        <v>0</v>
      </c>
      <c r="AE13" s="872">
        <f t="shared" si="4"/>
        <v>0</v>
      </c>
      <c r="AF13" s="865">
        <f t="shared" si="4"/>
        <v>0</v>
      </c>
      <c r="AG13" s="873">
        <f t="shared" si="4"/>
        <v>0</v>
      </c>
      <c r="AH13" s="870">
        <f t="shared" si="4"/>
        <v>0</v>
      </c>
      <c r="AI13" s="865">
        <f t="shared" si="4"/>
        <v>802</v>
      </c>
      <c r="AJ13" s="867">
        <f t="shared" si="4"/>
        <v>0</v>
      </c>
      <c r="AK13" s="870">
        <f>SUBTOTAL(9,AK9:AK12)</f>
        <v>0</v>
      </c>
      <c r="AL13" s="874">
        <f>IF(ISNUMBER(NºAsuntos!G13/NºAsuntos!E13),NºAsuntos!G13/NºAsuntos!E13," - ")</f>
        <v>0.69682422451994097</v>
      </c>
      <c r="AM13" s="874">
        <f>IF(ISNUMBER(((NºAsuntos!I13/NºAsuntos!G13)*11)/factor_trimestre),((NºAsuntos!I13/NºAsuntos!G13)*11)/factor_trimestre," - ")</f>
        <v>11.539745627980922</v>
      </c>
      <c r="AN13" s="875">
        <f>IF(ISNUMBER('Resol  Asuntos'!D13/NºAsuntos!G13),'Resol  Asuntos'!D13/NºAsuntos!G13," - ")</f>
        <v>0.21250662427133016</v>
      </c>
      <c r="AO13" s="876">
        <f>IF(ISNUMBER((NºAsuntos!C13+NºAsuntos!E13)/NºAsuntos!G13),(NºAsuntos!C13+NºAsuntos!E13)/NºAsuntos!G13," - ")</f>
        <v>4.8722840487546373</v>
      </c>
      <c r="AP13" s="877" t="str">
        <f t="shared" si="2"/>
        <v xml:space="preserve"> - </v>
      </c>
      <c r="AQ13" s="877">
        <f>IF(ISNUMBER((H13-W13+K13)/(F13)),(H13-W13+K13)/(F13)," - ")</f>
        <v>-0.25654450261780104</v>
      </c>
      <c r="AR13" s="878">
        <f>IF(ISNUMBER((Datos!P13-Datos!Q13)/(Datos!R13-Datos!P13+Datos!Q13)),(Datos!P13-Datos!Q13)/(Datos!R13-Datos!P13+Datos!Q13)," - ")</f>
        <v>1.4212804444731571E-3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3405</v>
      </c>
      <c r="G15" s="333">
        <f>IF(ISNUMBER(IF(D_I="SI",Datos!I15,Datos!I15+Datos!AC15)),IF(D_I="SI",Datos!I15,Datos!I15+Datos!AC15)," - ")</f>
        <v>3373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2250</v>
      </c>
      <c r="X15" s="226">
        <f>IF(ISNUMBER(Datos!Q15),Datos!Q15," - ")</f>
        <v>68</v>
      </c>
      <c r="Y15" s="334">
        <f>SUM(W15)</f>
        <v>2250</v>
      </c>
      <c r="Z15" s="335" t="str">
        <f>IF(ISNUMBER(Datos!CC15),Datos!CC15," - ")</f>
        <v xml:space="preserve"> - </v>
      </c>
      <c r="AA15" s="332">
        <f>IF(ISNUMBER(IF(D_I="SI",Datos!L15,Datos!L15+Datos!AF15)),IF(D_I="SI",Datos!L15,Datos!L15+Datos!AF15)," - ")</f>
        <v>3333</v>
      </c>
      <c r="AB15" s="334">
        <f>IF(ISNUMBER(Datos!R15),Datos!R15," - ")</f>
        <v>285</v>
      </c>
      <c r="AC15" s="334">
        <f t="shared" ref="AC15:AC17" si="6">IF(ISNUMBER(AA15+AB15),AA15+AB15," - ")</f>
        <v>3618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485</v>
      </c>
      <c r="AJ15" s="231" t="str">
        <f>IF(ISNUMBER(Datos!BW15),Datos!BW15," - ")</f>
        <v xml:space="preserve"> - </v>
      </c>
      <c r="AK15" s="232" t="str">
        <f>IF(ISNUMBER(Datos!BX15),Datos!BX15," - ")</f>
        <v xml:space="preserve"> - </v>
      </c>
      <c r="AL15" s="243">
        <f>IF(ISNUMBER(NºAsuntos!G15/NºAsuntos!E15),NºAsuntos!G15/NºAsuntos!E15," - ")</f>
        <v>1.0330578512396693</v>
      </c>
      <c r="AM15" s="260">
        <f>IF(ISNUMBER(((NºAsuntos!I15/NºAsuntos!G15)*11)/factor_trimestre),((NºAsuntos!I15/NºAsuntos!G15)*11)/factor_trimestre," - ")</f>
        <v>4.4440000000000008</v>
      </c>
      <c r="AN15" s="244">
        <f>IF(ISNUMBER('Resol  Asuntos'!D15/NºAsuntos!G15),'Resol  Asuntos'!D15/NºAsuntos!G15," - ")</f>
        <v>0.21555555555555556</v>
      </c>
      <c r="AO15" s="245">
        <f>IF(ISNUMBER((NºAsuntos!C15+NºAsuntos!E15)/NºAsuntos!G15),(NºAsuntos!C15+NºAsuntos!E15)/NºAsuntos!G15," - ")</f>
        <v>2.467111111111111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378</v>
      </c>
      <c r="X17" s="226">
        <f>IF(ISNUMBER(Datos!Q17),Datos!Q17," - ")</f>
        <v>12</v>
      </c>
      <c r="Y17" s="334">
        <f t="shared" si="7"/>
        <v>390</v>
      </c>
      <c r="Z17" s="335" t="str">
        <f>IF(ISNUMBER(Datos!CC17),Datos!CC17," - ")</f>
        <v xml:space="preserve"> - </v>
      </c>
      <c r="AA17" s="332">
        <f>IF(ISNUMBER(Datos!L17),Datos!L17,"-")</f>
        <v>253</v>
      </c>
      <c r="AB17" s="334">
        <f>IF(ISNUMBER(Datos!R17),Datos!R17," - ")</f>
        <v>16</v>
      </c>
      <c r="AC17" s="334">
        <f t="shared" si="6"/>
        <v>269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1.2</v>
      </c>
      <c r="AM17" s="260">
        <f>IF(ISNUMBER(((NºAsuntos!I17/NºAsuntos!G17)*11)/factor_trimestre),((NºAsuntos!I17/NºAsuntos!G17)*11)/factor_trimestre," - ")</f>
        <v>2.0079365079365079</v>
      </c>
      <c r="AN17" s="244">
        <f>IF(ISNUMBER('Resol  Asuntos'!D17/NºAsuntos!G17),'Resol  Asuntos'!D17/NºAsuntos!G17," - ")</f>
        <v>0.12433862433862433</v>
      </c>
      <c r="AO17" s="245">
        <f>IF(ISNUMBER((NºAsuntos!C17+NºAsuntos!E17)/NºAsuntos!G17),(NºAsuntos!C17+NºAsuntos!E17)/NºAsuntos!G17," - ")</f>
        <v>1.6693121693121693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3405</v>
      </c>
      <c r="G18" s="866">
        <f>SUBTOTAL(9,G15:G17)</f>
        <v>3689</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2628</v>
      </c>
      <c r="X18" s="867">
        <f t="shared" si="11"/>
        <v>80</v>
      </c>
      <c r="Y18" s="868">
        <f t="shared" si="11"/>
        <v>2640</v>
      </c>
      <c r="Z18" s="868">
        <f t="shared" si="11"/>
        <v>0</v>
      </c>
      <c r="AA18" s="868">
        <f t="shared" si="11"/>
        <v>3586</v>
      </c>
      <c r="AB18" s="868">
        <f t="shared" si="11"/>
        <v>301</v>
      </c>
      <c r="AC18" s="868">
        <f t="shared" si="11"/>
        <v>3887</v>
      </c>
      <c r="AD18" s="868">
        <f t="shared" si="11"/>
        <v>0</v>
      </c>
      <c r="AE18" s="872">
        <f t="shared" si="11"/>
        <v>0</v>
      </c>
      <c r="AF18" s="865">
        <f t="shared" si="11"/>
        <v>0</v>
      </c>
      <c r="AG18" s="873">
        <f t="shared" si="11"/>
        <v>0</v>
      </c>
      <c r="AH18" s="870">
        <f t="shared" si="11"/>
        <v>0</v>
      </c>
      <c r="AI18" s="865">
        <f t="shared" si="11"/>
        <v>532</v>
      </c>
      <c r="AJ18" s="867">
        <f t="shared" si="11"/>
        <v>0</v>
      </c>
      <c r="AK18" s="870">
        <f t="shared" si="11"/>
        <v>0</v>
      </c>
      <c r="AL18" s="874">
        <f>IF(ISNUMBER(NºAsuntos!G18/NºAsuntos!E18),NºAsuntos!G18/NºAsuntos!E18," - ")</f>
        <v>1.0541516245487366</v>
      </c>
      <c r="AM18" s="874">
        <f>IF(ISNUMBER(((NºAsuntos!I18/NºAsuntos!G18)*11)/factor_trimestre),((NºAsuntos!I18/NºAsuntos!G18)*11)/factor_trimestre," - ")</f>
        <v>4.0936073059360734</v>
      </c>
      <c r="AN18" s="875">
        <f>IF(ISNUMBER('Resol  Asuntos'!D18/NºAsuntos!G18),'Resol  Asuntos'!D18/NºAsuntos!G18," - ")</f>
        <v>0.20243531202435311</v>
      </c>
      <c r="AO18" s="876">
        <f>IF(ISNUMBER((NºAsuntos!C18+NºAsuntos!E18)/NºAsuntos!G18),(NºAsuntos!C18+NºAsuntos!E18)/NºAsuntos!G18," - ")</f>
        <v>2.352359208523592</v>
      </c>
      <c r="AP18" s="877" t="str">
        <f t="shared" si="2"/>
        <v xml:space="preserve"> - </v>
      </c>
      <c r="AQ18" s="877">
        <f>IF(ISNUMBER((H18-W18+K18)/(F18)),(H18-W18+K18)/(F18)," - ")</f>
        <v>-0.77180616740088104</v>
      </c>
      <c r="AR18" s="878">
        <f>IF(ISNUMBER((Datos!P18-Datos!Q18)/(Datos!R18-Datos!P18+Datos!Q18)),(Datos!P18-Datos!Q18)/(Datos!R18-Datos!P18+Datos!Q18)," - ")</f>
        <v>7.4999999999999997E-2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3596</v>
      </c>
      <c r="G19" s="821">
        <f t="shared" si="13"/>
        <v>3884</v>
      </c>
      <c r="H19" s="820">
        <f t="shared" si="13"/>
        <v>0</v>
      </c>
      <c r="I19" s="822">
        <f t="shared" si="13"/>
        <v>0</v>
      </c>
      <c r="J19" s="822">
        <f t="shared" si="13"/>
        <v>0</v>
      </c>
      <c r="K19" s="881">
        <f t="shared" si="13"/>
        <v>0</v>
      </c>
      <c r="L19" s="822">
        <f t="shared" si="13"/>
        <v>859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2677</v>
      </c>
      <c r="X19" s="821">
        <f t="shared" si="14"/>
        <v>816</v>
      </c>
      <c r="Y19" s="828">
        <f t="shared" si="14"/>
        <v>3425</v>
      </c>
      <c r="Z19" s="828">
        <f t="shared" si="14"/>
        <v>0</v>
      </c>
      <c r="AA19" s="828">
        <f t="shared" si="14"/>
        <v>3782</v>
      </c>
      <c r="AB19" s="828">
        <f t="shared" si="14"/>
        <v>15802</v>
      </c>
      <c r="AC19" s="828">
        <f t="shared" si="14"/>
        <v>4254</v>
      </c>
      <c r="AD19" s="828">
        <f t="shared" si="14"/>
        <v>0</v>
      </c>
      <c r="AE19" s="830">
        <f t="shared" si="14"/>
        <v>0</v>
      </c>
      <c r="AF19" s="831">
        <f t="shared" si="14"/>
        <v>0</v>
      </c>
      <c r="AG19" s="832">
        <f t="shared" si="14"/>
        <v>0</v>
      </c>
      <c r="AH19" s="830">
        <f t="shared" si="14"/>
        <v>0</v>
      </c>
      <c r="AI19" s="820">
        <f t="shared" si="14"/>
        <v>1334</v>
      </c>
      <c r="AJ19" s="820">
        <f t="shared" si="14"/>
        <v>0</v>
      </c>
      <c r="AK19" s="830">
        <f t="shared" si="14"/>
        <v>0</v>
      </c>
      <c r="AL19" s="884">
        <f>IF(ISNUMBER(NºAsuntos!G19/NºAsuntos!E19),NºAsuntos!G19/NºAsuntos!E19," - ")</f>
        <v>0.80945757997218359</v>
      </c>
      <c r="AM19" s="885">
        <f>IF(ISNUMBER(((NºAsuntos!I19/NºAsuntos!G19)*11)/factor_trimestre),((NºAsuntos!I19/NºAsuntos!G19)*11)/factor_trimestre," - ")</f>
        <v>8.483130271790067</v>
      </c>
      <c r="AN19" s="885">
        <f>IF(ISNUMBER('Resol  Asuntos'!D19/NºAsuntos!G19),'Resol  Asuntos'!D19/NºAsuntos!G19," - ")</f>
        <v>0.20837238363011559</v>
      </c>
      <c r="AO19" s="886">
        <f>IF(ISNUMBER((NºAsuntos!C19+NºAsuntos!E19)/NºAsuntos!G19),(NºAsuntos!C19+NºAsuntos!E19)/NºAsuntos!G19," - ")</f>
        <v>3.8378631677600752</v>
      </c>
      <c r="AP19" s="887" t="str">
        <f t="shared" si="2"/>
        <v xml:space="preserve"> - </v>
      </c>
      <c r="AQ19" s="888">
        <f>IF(OR(ISNUMBER(FIND("01",Criterios!A8,1)),ISNUMBER(FIND("02",Criterios!A8,1)),ISNUMBER(FIND("03",Criterios!A8,1)),ISNUMBER(FIND("04",Criterios!A8,1))),(I19-W19+K19)/(F19-K19),(H19-W19+K19)/(F19-K19))</f>
        <v>-0.74443826473859842</v>
      </c>
      <c r="AR19" s="889">
        <f>IF(ISNUMBER((Datos!P19-Datos!Q19)/(Datos!R19-Datos!P19+Datos!Q19)),(Datos!P19-Datos!Q19)/(Datos!R19-Datos!P19+Datos!Q19)," - ")</f>
        <v>2.7285995304270577E-3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1855.6037651754573</v>
      </c>
      <c r="G21" s="253">
        <f>IF(ISNUMBER(STDEV(G8:G18)),STDEV(G8:G18),"-")</f>
        <v>1809.2395640157772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1263.2801352035897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340.62980883455674</v>
      </c>
      <c r="AJ21" s="252">
        <f t="shared" si="18"/>
        <v>0</v>
      </c>
      <c r="AK21" s="254">
        <f t="shared" si="18"/>
        <v>0</v>
      </c>
      <c r="AL21" s="249">
        <f t="shared" si="18"/>
        <v>0.20453561011376623</v>
      </c>
      <c r="AM21" s="250">
        <f t="shared" si="18"/>
        <v>4.558108433137086</v>
      </c>
      <c r="AN21" s="250">
        <f t="shared" si="18"/>
        <v>0.14221052102767606</v>
      </c>
      <c r="AO21" s="251">
        <f t="shared" si="18"/>
        <v>1.5478660951784384</v>
      </c>
      <c r="AP21" s="291" t="str">
        <f t="shared" si="18"/>
        <v>-</v>
      </c>
      <c r="AQ21" s="292">
        <f t="shared" si="18"/>
        <v>0.36434501725358565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UT6eKzJwr0GyQEQw5Vpf5dm8zz+OMtKhL+ZL8U+jQbltsClopDXvc6zfvPtOtDZv7fSL7lEe4FvVfVJ0WMFbA==" saltValue="22fbzHBMfz8UD998hsnBB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ORIHUELA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0.4894433781190019</v>
      </c>
      <c r="I9" s="350">
        <f>IF(ISNUMBER((Tasas!C9-Datos!BE9)/Datos!BE9),(Tasas!C9-Datos!BE9)/Datos!BE9," - ")</f>
        <v>-4.2475356495507301E-2</v>
      </c>
      <c r="J9" s="349">
        <f>IF(ISNUMBER((Tasas!D9-Datos!BF9)/Datos!BF9),(Tasas!D9-Datos!BF9)/Datos!BF9," - ")</f>
        <v>-0.48034346624555868</v>
      </c>
      <c r="K9" s="351">
        <f>IF(ISNUMBER((Tasas!E9-Datos!BG9)/Datos!BG9),(Tasas!E9-Datos!BG9)/Datos!BG9," - ")</f>
        <v>-2.6524383732840811E-2</v>
      </c>
      <c r="M9" t="e">
        <f>IF(Monitorios="SI",Datos!CE9,0)</f>
        <v>#REF!</v>
      </c>
      <c r="N9" t="e">
        <f>IF(Monitorios="SI",Datos!CF9,0)</f>
        <v>#REF!</v>
      </c>
      <c r="O9" t="e">
        <f>IF(Monitorios="SI",Datos!CG9,0)</f>
        <v>#REF!</v>
      </c>
      <c r="P9" t="e">
        <f>IF(Monitorios="SI",Datos!CH9,0)</f>
        <v>#REF!</v>
      </c>
      <c r="Q9">
        <f>IF(J_V="SI",0,Datos!AG9)</f>
        <v>320</v>
      </c>
      <c r="R9">
        <f>IF(J_V="SI",0,Datos!AH9)</f>
        <v>186</v>
      </c>
      <c r="S9">
        <f>IF(J_V="SI",0,Datos!AI9)</f>
        <v>218</v>
      </c>
      <c r="T9">
        <f>IF(J_V="SI",0,Datos!AJ9)</f>
        <v>294</v>
      </c>
    </row>
    <row r="10" spans="2:20" ht="14.25">
      <c r="B10" s="275" t="s">
        <v>246</v>
      </c>
      <c r="C10" s="7" t="str">
        <f>Datos!A10</f>
        <v>Jdos. Violencia contra la mujer</v>
      </c>
      <c r="D10" s="352">
        <f>IF(ISNUMBER((Datos!I10-Datos!S10)/Datos!S10),(Datos!I10-Datos!S10)/Datos!S10," - ")</f>
        <v>-0.10138248847926268</v>
      </c>
      <c r="E10" s="348">
        <f>IF(ISNUMBER((Datos!J10-Datos!T10)/Datos!T10),(Datos!J10-Datos!T10)/Datos!T10," - ")</f>
        <v>-0.14285714285714285</v>
      </c>
      <c r="F10" s="348">
        <f>IF(ISNUMBER((Datos!K10-Datos!U10)/Datos!U10),(Datos!K10-Datos!U10)/Datos!U10," - ")</f>
        <v>-0.24615384615384617</v>
      </c>
      <c r="G10" s="349">
        <f>IF(ISNUMBER((Datos!L10-Datos!V10)/Datos!V10),(Datos!L10-Datos!V10)/Datos!V10," - ")</f>
        <v>-8.8372093023255813E-2</v>
      </c>
      <c r="H10" s="230">
        <f>IF(ISNUMBER((Datos!M10-Datos!W10)/Datos!W10),(Datos!M10-Datos!W10)/Datos!W10," - ")</f>
        <v>-0.29729729729729731</v>
      </c>
      <c r="I10" s="350">
        <f>IF(ISNUMBER((Tasas!C10-Datos!BE10)/Datos!BE10),(Tasas!C10-Datos!BE10)/Datos!BE10," - ")</f>
        <v>0.20930232558139542</v>
      </c>
      <c r="J10" s="349">
        <f>IF(ISNUMBER((Tasas!D10-Datos!BF10)/Datos!BF10),(Tasas!D10-Datos!BF10)/Datos!BF10," - ")</f>
        <v>-6.784335355763918E-2</v>
      </c>
      <c r="K10" s="351">
        <f>IF(ISNUMBER((Tasas!E10-Datos!BG10)/Datos!BG10),(Tasas!E10-Datos!BG10)/Datos!BG10," - ")</f>
        <v>0.17966472303207004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0.43727598566308246</v>
      </c>
      <c r="I13" s="357">
        <f>IF(ISNUMBER((Tasas!C13-Datos!BE13)/Datos!BE13),(Tasas!C13-Datos!BE13)/Datos!BE13," - ")</f>
        <v>-3.8008366325924484E-2</v>
      </c>
      <c r="J13" s="355">
        <f>IF(ISNUMBER((Tasas!D13-Datos!BF13)/Datos!BF13),(Tasas!D13-Datos!BF13)/Datos!BF13," - ")</f>
        <v>-0.47506141435553195</v>
      </c>
      <c r="K13" s="358">
        <f>IF(ISNUMBER((Tasas!E13-Datos!BG13)/Datos!BG13),(Tasas!E13-Datos!BG13)/Datos!BG13," - ")</f>
        <v>-2.2800420648878689E-2</v>
      </c>
      <c r="M13" t="e">
        <f>IF(Monitorios="SI",Datos!CE13,0)</f>
        <v>#REF!</v>
      </c>
      <c r="N13" t="e">
        <f>IF(Monitorios="SI",Datos!CF13,0)</f>
        <v>#REF!</v>
      </c>
      <c r="O13" t="e">
        <f>IF(Monitorios="SI",Datos!CG13,0)</f>
        <v>#REF!</v>
      </c>
      <c r="P13" t="e">
        <f>IF(Monitorios="SI",Datos!CH13,0)</f>
        <v>#REF!</v>
      </c>
      <c r="Q13">
        <f>IF(J_V="SI",0,Datos!AG13)</f>
        <v>320</v>
      </c>
      <c r="R13">
        <f>IF(J_V="SI",0,Datos!AH13)</f>
        <v>186</v>
      </c>
      <c r="S13">
        <f>IF(J_V="SI",0,Datos!AI13)</f>
        <v>218</v>
      </c>
      <c r="T13">
        <f>IF(J_V="SI",0,Datos!AJ13)</f>
        <v>294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7.6603894031279929E-2</v>
      </c>
      <c r="E15" s="348">
        <f>IF(ISNUMBER(
   IF(D_I="SI",(Datos!J15-Datos!T15)/Datos!T15,(Datos!J15+Datos!AD15-(Datos!T15+Datos!AL15))/(Datos!T15+Datos!AL15))
     ),IF(D_I="SI",(Datos!J15-Datos!T15)/Datos!T15,(Datos!J15+Datos!AD15-(Datos!T15+Datos!AL15))/(Datos!T15+Datos!AL15))," - ")</f>
        <v>-3.3717834960070983E-2</v>
      </c>
      <c r="F15" s="348">
        <f>IF(ISNUMBER(
   IF(D_I="SI",(Datos!K15-Datos!U15)/Datos!U15,(Datos!K15+Datos!AE15-(Datos!U15+Datos!AM15))/(Datos!U15+Datos!AM15))
     ),IF(D_I="SI",(Datos!K15-Datos!U15)/Datos!U15,(Datos!K15+Datos!AE15-(Datos!U15+Datos!AM15))/(Datos!U15+Datos!AM15))," - ")</f>
        <v>-4.4180118946474084E-2</v>
      </c>
      <c r="G15" s="349">
        <f>IF(ISNUMBER(
   IF(D_I="SI",(Datos!L15-Datos!V15)/Datos!V15,(Datos!L15+Datos!AF15-(Datos!V15+Datos!AN15))/(Datos!V15+Datos!AN15))
     ),IF(D_I="SI",(Datos!L15-Datos!V15)/Datos!V15,(Datos!L15+Datos!AF15-(Datos!V15+Datos!AN15))/(Datos!V15+Datos!AN15))," - ")</f>
        <v>8.708414872798434E-2</v>
      </c>
      <c r="H15" s="230">
        <f>IF(ISNUMBER((Datos!M15-Datos!W15)/Datos!W15),(Datos!M15-Datos!W15)/Datos!W15," - ")</f>
        <v>-1.6227180527383367E-2</v>
      </c>
      <c r="I15" s="350">
        <f>IF(ISNUMBER((Tasas!C15-Datos!BE15)/Datos!BE15),(Tasas!C15-Datos!BE15)/Datos!BE15," - ")</f>
        <v>0.13733159382474461</v>
      </c>
      <c r="J15" s="349">
        <f>IF(ISNUMBER((Tasas!D15-Datos!BF15)/Datos!BF15),(Tasas!D15-Datos!BF15)/Datos!BF15," - ")</f>
        <v>2.924498535046206E-2</v>
      </c>
      <c r="K15" s="351">
        <f>IF(ISNUMBER((Tasas!E15-Datos!BG15)/Datos!BG15),(Tasas!E15-Datos!BG15)/Datos!BG15," - ")</f>
        <v>7.807305653528028E-2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-0.14130434782608695</v>
      </c>
      <c r="E17" s="348">
        <f>IF(ISNUMBER(
   IF(D_I="SI",(Datos!J17-Datos!T17)/Datos!T17,(Datos!J17+Datos!AD17-(Datos!T17+Datos!AL17))/(Datos!T17+Datos!AL17))
     ),IF(D_I="SI",(Datos!J17-Datos!T17)/Datos!T17,(Datos!J17+Datos!AD17-(Datos!T17+Datos!AL17))/(Datos!T17+Datos!AL17))," - ")</f>
        <v>-0.12011173184357542</v>
      </c>
      <c r="F17" s="348">
        <f>IF(ISNUMBER(
   IF(D_I="SI",(Datos!K17-Datos!U17)/Datos!U17,(Datos!K17+Datos!AE17-(Datos!U17+Datos!AM17))/(Datos!U17+Datos!AM17))
     ),IF(D_I="SI",(Datos!K17-Datos!U17)/Datos!U17,(Datos!K17+Datos!AE17-(Datos!U17+Datos!AM17))/(Datos!U17+Datos!AM17))," - ")</f>
        <v>-9.1346153846153841E-2</v>
      </c>
      <c r="G17" s="349">
        <f>IF(ISNUMBER(
   IF(D_I="SI",(Datos!L17-Datos!V17)/Datos!V17,(Datos!L17+Datos!AF17-(Datos!V17+Datos!AN17))/(Datos!V17+Datos!AN17))
     ),IF(D_I="SI",(Datos!L17-Datos!V17)/Datos!V17,(Datos!L17+Datos!AF17-(Datos!V17+Datos!AN17))/(Datos!V17+Datos!AN17))," - ")</f>
        <v>-0.18387096774193548</v>
      </c>
      <c r="H17" s="230">
        <f>IF(ISNUMBER((Datos!M17-Datos!W17)/Datos!W17),(Datos!M17-Datos!W17)/Datos!W17," - ")</f>
        <v>-0.18965517241379309</v>
      </c>
      <c r="I17" s="350">
        <f>IF(ISNUMBER((Tasas!C17-Datos!BE17)/Datos!BE17),(Tasas!C17-Datos!BE17)/Datos!BE17," - ")</f>
        <v>-0.10182625021334703</v>
      </c>
      <c r="J17" s="349">
        <f>IF(ISNUMBER((Tasas!D17-Datos!BF17)/Datos!BF17),(Tasas!D17-Datos!BF17)/Datos!BF17," - ")</f>
        <v>-0.10819193577814275</v>
      </c>
      <c r="K17" s="351">
        <f>IF(ISNUMBER((Tasas!E17-Datos!BG17)/Datos!BG17),(Tasas!E17-Datos!BG17)/Datos!BG17," - ")</f>
        <v>-4.3479528328013189E-2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5.3698943159097401E-2</v>
      </c>
      <c r="E18" s="354">
        <f>IF(ISNUMBER(
   IF(D_I="SI",(Datos!J18-Datos!T18)/Datos!T18,(Datos!J18+Datos!AD18-(Datos!T18+Datos!AL18))/(Datos!T18+Datos!AL18))
     ),IF(D_I="SI",(Datos!J18-Datos!T18)/Datos!T18,(Datos!J18+Datos!AD18-(Datos!T18+Datos!AL18))/(Datos!T18+Datos!AL18))," - ")</f>
        <v>-4.5558958652373659E-2</v>
      </c>
      <c r="F18" s="354">
        <f>IF(ISNUMBER(
   IF(D_I="SI",(Datos!K18-Datos!U18)/Datos!U18,(Datos!K18+Datos!AE18-(Datos!U18+Datos!AM18))/(Datos!U18+Datos!AM18))
     ),IF(D_I="SI",(Datos!K18-Datos!U18)/Datos!U18,(Datos!K18+Datos!AE18-(Datos!U18+Datos!AM18))/(Datos!U18+Datos!AM18))," - ")</f>
        <v>-5.1263537906137184E-2</v>
      </c>
      <c r="G18" s="355">
        <f>IF(ISNUMBER(
   IF(D_I="SI",(Datos!L18-Datos!V18)/Datos!V18,(Datos!L18+Datos!AF18-(Datos!V18+Datos!AN18))/(Datos!V18+Datos!AN18))
     ),IF(D_I="SI",(Datos!L18-Datos!V18)/Datos!V18,(Datos!L18+Datos!AF18-(Datos!V18+Datos!AN18))/(Datos!V18+Datos!AN18))," - ")</f>
        <v>6.220379146919431E-2</v>
      </c>
      <c r="H18" s="356">
        <f>IF(ISNUMBER((Datos!M18-Datos!W18)/Datos!W18),(Datos!M18-Datos!W18)/Datos!W18," - ")</f>
        <v>-3.4482758620689655E-2</v>
      </c>
      <c r="I18" s="357">
        <f>IF(ISNUMBER((Tasas!C18-Datos!BE18)/Datos!BE18),(Tasas!C18-Datos!BE18)/Datos!BE18," - ")</f>
        <v>0.11959836467643384</v>
      </c>
      <c r="J18" s="355">
        <f>IF(ISNUMBER((Tasas!D18-Datos!BF18)/Datos!BF18),(Tasas!D18-Datos!BF18)/Datos!BF18," - ")</f>
        <v>1.7687503280323275E-2</v>
      </c>
      <c r="K18" s="358">
        <f>IF(ISNUMBER((Tasas!E18-Datos!BG18)/Datos!BG18),(Tasas!E18-Datos!BG18)/Datos!BG18," - ")</f>
        <v>6.5930804451226968E-2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0.17962333616539225</v>
      </c>
      <c r="E19" s="363">
        <f>IF(ISNUMBER(
   IF(J_V="SI",(Datos!J19-Datos!T19)/Datos!T19,(Datos!J19+Datos!Z19-(Datos!T19+Datos!AH19))/(Datos!T19+Datos!AH19))
     ),IF(J_V="SI",(Datos!J19-Datos!T19)/Datos!T19,(Datos!J19+Datos!Z19-(Datos!T19+Datos!AH19))/(Datos!T19+Datos!AH19))," - ")</f>
        <v>0.35312232677502137</v>
      </c>
      <c r="F19" s="363">
        <f>IF(ISNUMBER(
   IF(J_V="SI",(Datos!K19-Datos!U19)/Datos!U19,(Datos!K19+Datos!AA19-(Datos!U19+Datos!AI19))/(Datos!U19+Datos!AI19))
     ),IF(J_V="SI",(Datos!K19-Datos!U19)/Datos!U19,(Datos!K19+Datos!AA19-(Datos!U19+Datos!AI19))/(Datos!U19+Datos!AI19))," - ")</f>
        <v>0.15372139124166517</v>
      </c>
      <c r="G19" s="364">
        <f>IF(ISNUMBER(
   IF(J_V="SI",(Datos!L19-Datos!V19)/Datos!V19,(Datos!L19+Datos!AB19-(Datos!V19+Datos!AJ19))/(Datos!V19+Datos!AJ19))
     ),IF(J_V="SI",(Datos!L19-Datos!V19)/Datos!V19,(Datos!L19+Datos!AB19-(Datos!V19+Datos!AJ19))/(Datos!V19+Datos!AJ19))," - ")</f>
        <v>0.24951684152401987</v>
      </c>
      <c r="H19" s="365">
        <f>IF(ISNUMBER((Datos!M19-Datos!W19)/Datos!W19),(Datos!M19-Datos!W19)/Datos!W19," - ")</f>
        <v>0.20288548241659152</v>
      </c>
      <c r="I19" s="362">
        <f>IF(ISNUMBER((Tasas!C19-Datos!BE19)/Datos!BE19),(Tasas!C19-Datos!BE19)/Datos!BE19," - ")</f>
        <v>8.3031701595874058E-2</v>
      </c>
      <c r="J19" s="363">
        <f>IF(ISNUMBER((Tasas!D19-Datos!BF19)/Datos!BF19),(Tasas!D19-Datos!BF19)/Datos!BF19," - ")</f>
        <v>-0.31010837901938454</v>
      </c>
      <c r="K19" s="364">
        <f>IF(ISNUMBER((Tasas!E19-Datos!BG19)/Datos!BG19),(Tasas!E19-Datos!BG19)/Datos!BG19," - ")</f>
        <v>6.6468161545428284E-2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0.10930007616297226</v>
      </c>
      <c r="E21" s="278">
        <f t="shared" si="1"/>
        <v>5.4050834498249538E-2</v>
      </c>
      <c r="F21" s="278">
        <f t="shared" si="1"/>
        <v>9.4261368059538261E-2</v>
      </c>
      <c r="G21" s="279">
        <f t="shared" si="1"/>
        <v>0.12818168072182276</v>
      </c>
      <c r="H21" s="285">
        <f t="shared" si="1"/>
        <v>0.32598917316174436</v>
      </c>
      <c r="I21" s="277">
        <f t="shared" si="1"/>
        <v>0.12422017784864595</v>
      </c>
      <c r="J21" s="278">
        <f t="shared" si="1"/>
        <v>0.23573857287346972</v>
      </c>
      <c r="K21" s="279">
        <f t="shared" si="1"/>
        <v>8.5968025346952331E-2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l5v1BlI4SBLy7DrvtT4CFQFTZwe6jMaHLgj53W1oSNE9H39ZksgLrDj5+vTPRjwVxyhNWPwvh/suj6CToD77w==" saltValue="sfPaQzkkCg1p22LwOT11P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